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105" windowWidth="9375" windowHeight="4965" activeTab="3"/>
  </bookViews>
  <sheets>
    <sheet name="Sheet5" sheetId="1" r:id="rId1"/>
    <sheet name="Sheet6" sheetId="2" r:id="rId2"/>
    <sheet name="Sheet7" sheetId="3" r:id="rId3"/>
    <sheet name="Sheet9" sheetId="4" r:id="rId4"/>
    <sheet name="Sheet10" sheetId="5" r:id="rId5"/>
    <sheet name="Sheet11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sharedStrings.xml><?xml version="1.0" encoding="utf-8"?>
<sst xmlns="http://schemas.openxmlformats.org/spreadsheetml/2006/main" count="624" uniqueCount="321">
  <si>
    <t>SUPERCOMAL TECHNOLOGIES BERHAD (197527-H)</t>
  </si>
  <si>
    <t>(Incorporated in Malaysia)</t>
  </si>
  <si>
    <t>Condensed Consolidated Statements of Changes in Equity</t>
  </si>
  <si>
    <t>For The Quarter Ended 30 June 2003</t>
  </si>
  <si>
    <t>( Unaudited )</t>
  </si>
  <si>
    <t xml:space="preserve">  Reserve</t>
  </si>
  <si>
    <t xml:space="preserve">   Reserve</t>
  </si>
  <si>
    <t xml:space="preserve"> </t>
  </si>
  <si>
    <t xml:space="preserve">    Share</t>
  </si>
  <si>
    <t>Attributable</t>
  </si>
  <si>
    <t xml:space="preserve"> Attributable</t>
  </si>
  <si>
    <t xml:space="preserve">  Retained</t>
  </si>
  <si>
    <t xml:space="preserve">     Total</t>
  </si>
  <si>
    <t xml:space="preserve">   Capital </t>
  </si>
  <si>
    <t xml:space="preserve"> To Capital</t>
  </si>
  <si>
    <t xml:space="preserve"> To Revenue</t>
  </si>
  <si>
    <t xml:space="preserve">     Profit</t>
  </si>
  <si>
    <t xml:space="preserve">    RM'   000 </t>
  </si>
  <si>
    <t xml:space="preserve">      RM'   000 </t>
  </si>
  <si>
    <t xml:space="preserve">         RM'   000 </t>
  </si>
  <si>
    <t xml:space="preserve">     RM'   000 </t>
  </si>
  <si>
    <t xml:space="preserve">Current 6 months ended 30.6.03 </t>
  </si>
  <si>
    <t>Balance as at 1 January 2003</t>
  </si>
  <si>
    <t>Net loss after tax for the period</t>
  </si>
  <si>
    <t>(cumulative)</t>
  </si>
  <si>
    <t>Dividends</t>
  </si>
  <si>
    <t>Balance as at 30 June 2003</t>
  </si>
  <si>
    <t xml:space="preserve">Preceding Year's  6 months ended 30.6.02 </t>
  </si>
  <si>
    <t>Balance as of  1 January 2002</t>
  </si>
  <si>
    <t>Net profit after tax for the period</t>
  </si>
  <si>
    <t>Balance as of 30 June 2002</t>
  </si>
  <si>
    <t xml:space="preserve">(The Condensed Consolidated Statements of Changes in Equity  should be read in </t>
  </si>
  <si>
    <t xml:space="preserve"> conjunction with  the Annual Financial Report for the year ended 31 December 2002.</t>
  </si>
  <si>
    <t>work sheet</t>
  </si>
  <si>
    <t>Condensed Consolidated Cash Flow Statements</t>
  </si>
  <si>
    <t>For the quarter's ended 30 June 2003</t>
  </si>
  <si>
    <t>6 month</t>
  </si>
  <si>
    <t>ended</t>
  </si>
  <si>
    <t>30/06/2003</t>
  </si>
  <si>
    <t xml:space="preserve"> RM ’000</t>
  </si>
  <si>
    <t>Net Profit/(loss) before Tax</t>
  </si>
  <si>
    <t>Adjustment for non-cash flow;-</t>
  </si>
  <si>
    <t>Depreciation of fixed Asset *sheet 12</t>
  </si>
  <si>
    <t>Non-cash items</t>
  </si>
  <si>
    <t>interest  expense     #P/L</t>
  </si>
  <si>
    <t>Non- operating items (which are investing/financing)</t>
  </si>
  <si>
    <t xml:space="preserve">Provision for slow moving stock reversel </t>
  </si>
  <si>
    <t>interest received</t>
  </si>
  <si>
    <t>Operating profit before changes in working capital</t>
  </si>
  <si>
    <t>refer to B/S</t>
  </si>
  <si>
    <t>Changes in Working Capital</t>
  </si>
  <si>
    <t>Net Change in Inventories</t>
  </si>
  <si>
    <t xml:space="preserve">Net Change in Inventories   </t>
  </si>
  <si>
    <t>Net Change in current assets</t>
  </si>
  <si>
    <t>Net Change in current liabilities</t>
  </si>
  <si>
    <t xml:space="preserve">Cash generated from/(used in) operation </t>
  </si>
  <si>
    <t>Tax paid</t>
  </si>
  <si>
    <t>Net cash flow generated from/</t>
  </si>
  <si>
    <t>( used in) operating activities</t>
  </si>
  <si>
    <t>CASH FLOWS FROM INVESTING ACTIVITIES</t>
  </si>
  <si>
    <t>Interest received</t>
  </si>
  <si>
    <t>P/L</t>
  </si>
  <si>
    <t>Purchase of property, plant &amp; equipment</t>
  </si>
  <si>
    <t>Sheet 12</t>
  </si>
  <si>
    <t>Proceed from Disposal of fixed assets</t>
  </si>
  <si>
    <t>Asset Rec</t>
  </si>
  <si>
    <t>Net cash (used in)/generated from investing activities</t>
  </si>
  <si>
    <t>CASH FLOWS FROM FINANCING  ACTIVITIES</t>
  </si>
  <si>
    <t xml:space="preserve">Dividends paid </t>
  </si>
  <si>
    <t xml:space="preserve">Repayment Bank loan &amp; interest </t>
  </si>
  <si>
    <t>Loan B/S</t>
  </si>
  <si>
    <t>Net cash (used in)/generated from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</si>
  <si>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</si>
  <si>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</si>
  <si>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</si>
  <si>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(The Condensed Consolidated  Cash Flow Statements should be read in conjunction with </t>
  </si>
  <si>
    <t>the Annual Financial Report for the year ended 31 December 2002.</t>
  </si>
  <si>
    <t>worksheet for STB Group  income statements</t>
  </si>
  <si>
    <t>Condensed Consolidated  Income Statements</t>
  </si>
  <si>
    <t>Period 1.1.03-30.6.03</t>
  </si>
  <si>
    <t>For the Period Ended 30 JUNE  2003</t>
  </si>
  <si>
    <t xml:space="preserve">Intercompany </t>
  </si>
  <si>
    <t xml:space="preserve">                         Second  Quarter ended </t>
  </si>
  <si>
    <t xml:space="preserve">                           Cumulative Quartter ended</t>
  </si>
  <si>
    <t xml:space="preserve">Transaction </t>
  </si>
  <si>
    <t>Note</t>
  </si>
  <si>
    <t xml:space="preserve">  30.6.2003</t>
  </si>
  <si>
    <t xml:space="preserve">  30.6.2002</t>
  </si>
  <si>
    <t xml:space="preserve">Contra out </t>
  </si>
  <si>
    <t xml:space="preserve"> RM ’000 </t>
  </si>
  <si>
    <t xml:space="preserve">from each </t>
  </si>
  <si>
    <t>STB Group</t>
  </si>
  <si>
    <t>STB</t>
  </si>
  <si>
    <t>SAC</t>
  </si>
  <si>
    <t>account</t>
  </si>
  <si>
    <t xml:space="preserve"> Revenue         </t>
  </si>
  <si>
    <t>Cost of Goods Sold</t>
  </si>
  <si>
    <t>Gross Profit</t>
  </si>
  <si>
    <t>rental</t>
  </si>
  <si>
    <t xml:space="preserve">Other Operating Income </t>
  </si>
  <si>
    <t xml:space="preserve">Other Opera Income </t>
  </si>
  <si>
    <t>Administrative expenses</t>
  </si>
  <si>
    <t>Admin expenses</t>
  </si>
  <si>
    <t>Selling and Marketing expenses</t>
  </si>
  <si>
    <t>Sel and Mrkt expen</t>
  </si>
  <si>
    <t>#+11664.86</t>
  </si>
  <si>
    <t>Other Operating  Expenses</t>
  </si>
  <si>
    <t>Other Operat Expen</t>
  </si>
  <si>
    <t>Profit /(Loss) from Operation</t>
  </si>
  <si>
    <t>Finance Costs,net</t>
  </si>
  <si>
    <t>Investing Results</t>
  </si>
  <si>
    <t>Profit/ (Loss) before tax</t>
  </si>
  <si>
    <t xml:space="preserve">Taxation  </t>
  </si>
  <si>
    <t xml:space="preserve">Taxation Provision (current ) </t>
  </si>
  <si>
    <t xml:space="preserve">Profit/(Loss)  after tax      </t>
  </si>
  <si>
    <t>Minority interests</t>
  </si>
  <si>
    <t xml:space="preserve">Net profit for  the period </t>
  </si>
  <si>
    <t xml:space="preserve">EPS - Basic </t>
  </si>
  <si>
    <t>26 (a)</t>
  </si>
  <si>
    <t xml:space="preserve">        - Diluted </t>
  </si>
  <si>
    <t>26(b)</t>
  </si>
  <si>
    <t>Note #  :  Other Operating Income / loss.</t>
  </si>
  <si>
    <t>Net Gain from disposal of fixed assets</t>
  </si>
  <si>
    <t xml:space="preserve">Provision  for doubtful debts     </t>
  </si>
  <si>
    <t>no longer required</t>
  </si>
  <si>
    <t>Gains from scrap and other disposal</t>
  </si>
  <si>
    <t xml:space="preserve">Interest Income                     </t>
  </si>
  <si>
    <t>Provision for slow moving stock</t>
  </si>
  <si>
    <t>Gains/ (loss)  from foreign exchange</t>
  </si>
  <si>
    <t xml:space="preserve">Money Claim for Tooling Expenses   </t>
  </si>
  <si>
    <t xml:space="preserve">(note The loss in forex a/c is now  </t>
  </si>
  <si>
    <t>Insurance Claim</t>
  </si>
  <si>
    <t>transfered to administarive a/c)</t>
  </si>
  <si>
    <t xml:space="preserve">         Total Other Incomes    </t>
  </si>
  <si>
    <t xml:space="preserve">(The Condensed Consolidated  Income Statements should be read in conjunction with </t>
  </si>
  <si>
    <t>to administarive expenses account)</t>
  </si>
  <si>
    <t>QUARTERLY REPORT ON CONSOLIDATED RESULT</t>
  </si>
  <si>
    <t>FOR THE QUARTER ENDED 30 JUNE, 2003</t>
  </si>
  <si>
    <t xml:space="preserve">            ( Unaudited )</t>
  </si>
  <si>
    <t xml:space="preserve">WORKSHEET  FOR STB GROUP B/S </t>
  </si>
  <si>
    <t>CONDENSED CONSOLIDATED BALANCE SHEETS</t>
  </si>
  <si>
    <t>Audited</t>
  </si>
  <si>
    <t xml:space="preserve">  </t>
  </si>
  <si>
    <t>AS  AT END OF</t>
  </si>
  <si>
    <t xml:space="preserve">AS  AT PRECEDING </t>
  </si>
  <si>
    <t xml:space="preserve"> CURRENT QUARTER</t>
  </si>
  <si>
    <t>FINANCIAL YEAR</t>
  </si>
  <si>
    <t xml:space="preserve"> END 31/12/2002</t>
  </si>
  <si>
    <t>Group</t>
  </si>
  <si>
    <t>Asset</t>
  </si>
  <si>
    <t xml:space="preserve"> RM ’000    </t>
  </si>
  <si>
    <t>Total</t>
  </si>
  <si>
    <t xml:space="preserve">Property, plant  and equipment </t>
  </si>
  <si>
    <t>-</t>
  </si>
  <si>
    <t>Current Assets :-</t>
  </si>
  <si>
    <t xml:space="preserve">   Inventories   </t>
  </si>
  <si>
    <t xml:space="preserve">   Trade  receivables       </t>
  </si>
  <si>
    <t xml:space="preserve">   Other   receivables       </t>
  </si>
  <si>
    <t xml:space="preserve">   Short  term Deposits</t>
  </si>
  <si>
    <t xml:space="preserve">         with a licensed bank</t>
  </si>
  <si>
    <t xml:space="preserve">   Cash at  Bank</t>
  </si>
  <si>
    <t>Current Liabilities:-</t>
  </si>
  <si>
    <t xml:space="preserve">   Trade Payables</t>
  </si>
  <si>
    <t xml:space="preserve">   Other Payables,     </t>
  </si>
  <si>
    <t xml:space="preserve">  and  accrual expenses  </t>
  </si>
  <si>
    <t xml:space="preserve">   Taxation liability current period           </t>
  </si>
  <si>
    <t xml:space="preserve">   Long term loan -current portion</t>
  </si>
  <si>
    <t>Net Current Assets</t>
  </si>
  <si>
    <t>Shareholders’ Fund:-</t>
  </si>
  <si>
    <t xml:space="preserve"> Share Capital     </t>
  </si>
  <si>
    <t xml:space="preserve"> Reserves -Share Premium   </t>
  </si>
  <si>
    <t xml:space="preserve">                   -Revaluation Reserve</t>
  </si>
  <si>
    <t xml:space="preserve">                   -Retained Profit</t>
  </si>
  <si>
    <t>DEFERRED LIABILITIES</t>
  </si>
  <si>
    <t xml:space="preserve">Long Term Borrowings </t>
  </si>
  <si>
    <t>Deferred Taxation</t>
  </si>
  <si>
    <t>Net tangible assets per share (RM)</t>
  </si>
  <si>
    <t xml:space="preserve">   </t>
  </si>
  <si>
    <t xml:space="preserve">   The Condensed Consolidated Balance Sheet should be read in conjunction with Annual</t>
  </si>
  <si>
    <t xml:space="preserve">    Audited Financial Statement of the Group for the year ended 31 December 2002.</t>
  </si>
  <si>
    <t xml:space="preserve">SUPERCOMAL TECHNOLOGIES BERHAD </t>
  </si>
  <si>
    <t xml:space="preserve">     Company  No:  197527-H </t>
  </si>
  <si>
    <t xml:space="preserve">     (Incorporated In Malaysia )</t>
  </si>
  <si>
    <t>QUARTERLY  REPORT FOR THE FINANCIAL PERIOD ENDED  30 JUNE 2003</t>
  </si>
  <si>
    <t>NOTES TO THE INTERIM FINANCIAL REPORT</t>
  </si>
  <si>
    <r>
      <t xml:space="preserve">1 </t>
    </r>
    <r>
      <rPr>
        <b/>
        <sz val="10"/>
        <rFont val="Arial"/>
        <family val="0"/>
      </rPr>
      <t>Accounting  Policies</t>
    </r>
  </si>
  <si>
    <t xml:space="preserve">  The financial report is unaudited and has been prepared in accordance with MASB 26, Interim</t>
  </si>
  <si>
    <t xml:space="preserve">  financial reporting and paragraph 9.22 of the Kuala Lumpur Stock Exchange ("KLSE") Listing</t>
  </si>
  <si>
    <t xml:space="preserve">  Requirements and should be read in conjunction with the audited financial statements of the </t>
  </si>
  <si>
    <t xml:space="preserve">  Group for the year ended 31 December, 2002.</t>
  </si>
  <si>
    <t xml:space="preserve"> The accounting policies adopted in the interim financial report are consistent with those adopted</t>
  </si>
  <si>
    <t xml:space="preserve">  in the annual financial statements for the year ended 31 December 2002</t>
  </si>
  <si>
    <r>
      <t xml:space="preserve">2. </t>
    </r>
    <r>
      <rPr>
        <b/>
        <sz val="10"/>
        <rFont val="Arial"/>
        <family val="0"/>
      </rPr>
      <t>Qualification of Preceding Annual Financial Statements</t>
    </r>
  </si>
  <si>
    <t xml:space="preserve"> The auditors' report of the preceding annual financial statements was not subject to any qualification.</t>
  </si>
  <si>
    <r>
      <t xml:space="preserve">3 </t>
    </r>
    <r>
      <rPr>
        <b/>
        <sz val="10"/>
        <rFont val="Arial"/>
        <family val="0"/>
      </rPr>
      <t xml:space="preserve"> Seasonal or Cyclical Factors.</t>
    </r>
    <r>
      <rPr>
        <sz val="10"/>
        <rFont val="Arial"/>
        <family val="0"/>
      </rPr>
      <t xml:space="preserve"> </t>
    </r>
  </si>
  <si>
    <t xml:space="preserve"> The business operations of the Group were not materially affected by any seasonal or cyclical factors</t>
  </si>
  <si>
    <r>
      <t xml:space="preserve">4  </t>
    </r>
    <r>
      <rPr>
        <b/>
        <sz val="10"/>
        <rFont val="Arial"/>
        <family val="0"/>
      </rPr>
      <t xml:space="preserve">Unusual Material Event </t>
    </r>
  </si>
  <si>
    <t xml:space="preserve">   There was no unusual material event during the quarter.</t>
  </si>
  <si>
    <r>
      <t>5</t>
    </r>
    <r>
      <rPr>
        <b/>
        <sz val="10"/>
        <rFont val="Arial"/>
        <family val="0"/>
      </rPr>
      <t xml:space="preserve">  Material Change In Estimates</t>
    </r>
  </si>
  <si>
    <t xml:space="preserve">  There were no changes in estimates which materially effect the current interim period.</t>
  </si>
  <si>
    <r>
      <t xml:space="preserve">6  </t>
    </r>
    <r>
      <rPr>
        <b/>
        <sz val="10"/>
        <rFont val="Arial"/>
        <family val="0"/>
      </rPr>
      <t>Changes in Debt and Equity Securities</t>
    </r>
  </si>
  <si>
    <t xml:space="preserve">  There were no issuances, cancellations, repurchases, resale and repayments of  debt and   </t>
  </si>
  <si>
    <t xml:space="preserve">  equity securities during the current financial period.</t>
  </si>
  <si>
    <r>
      <t xml:space="preserve">7  </t>
    </r>
    <r>
      <rPr>
        <b/>
        <sz val="10"/>
        <rFont val="Arial"/>
        <family val="0"/>
      </rPr>
      <t>Dividends Paid</t>
    </r>
    <r>
      <rPr>
        <sz val="10"/>
        <rFont val="Arial"/>
        <family val="0"/>
      </rPr>
      <t xml:space="preserve"> .  </t>
    </r>
  </si>
  <si>
    <t xml:space="preserve">  No dividend was paid for the current financial period ended 30 June 2003.</t>
  </si>
  <si>
    <r>
      <t xml:space="preserve">8 </t>
    </r>
    <r>
      <rPr>
        <b/>
        <sz val="10"/>
        <rFont val="Arial"/>
        <family val="0"/>
      </rPr>
      <t xml:space="preserve">Segmental Reporting.  </t>
    </r>
  </si>
  <si>
    <t xml:space="preserve">     </t>
  </si>
  <si>
    <t xml:space="preserve">  No segmental analysis is prepared as the Group is primarily operates in the manufacturing of </t>
  </si>
  <si>
    <t xml:space="preserve">  wire and cables for electronic devices.</t>
  </si>
  <si>
    <r>
      <t xml:space="preserve">9 </t>
    </r>
    <r>
      <rPr>
        <b/>
        <sz val="10"/>
        <rFont val="Arial"/>
        <family val="0"/>
      </rPr>
      <t xml:space="preserve">Valuations of Property, Plant and Equipment. </t>
    </r>
  </si>
  <si>
    <t xml:space="preserve">  Not applicable as the Group did not revalue its property, plant and equipment during the current  </t>
  </si>
  <si>
    <t xml:space="preserve">  financial period.</t>
  </si>
  <si>
    <r>
      <t xml:space="preserve">10 </t>
    </r>
    <r>
      <rPr>
        <b/>
        <sz val="10"/>
        <rFont val="Arial"/>
        <family val="0"/>
      </rPr>
      <t>Material Subsequent Events .</t>
    </r>
    <r>
      <rPr>
        <sz val="10"/>
        <rFont val="Arial"/>
        <family val="0"/>
      </rPr>
      <t xml:space="preserve">  </t>
    </r>
  </si>
  <si>
    <t xml:space="preserve">  There are no material events subsequent to the end of the period reported  which have not been </t>
  </si>
  <si>
    <t xml:space="preserve">  reflected in the financial report.</t>
  </si>
  <si>
    <r>
      <t>11</t>
    </r>
    <r>
      <rPr>
        <b/>
        <sz val="10"/>
        <rFont val="Arial"/>
        <family val="0"/>
      </rPr>
      <t xml:space="preserve"> Changes in the Composition of The Group.</t>
    </r>
    <r>
      <rPr>
        <sz val="10"/>
        <rFont val="Arial"/>
        <family val="0"/>
      </rPr>
      <t xml:space="preserve">  </t>
    </r>
  </si>
  <si>
    <t xml:space="preserve"> There was no change in the composition of the Group during the financial period under review. </t>
  </si>
  <si>
    <r>
      <t xml:space="preserve">12  </t>
    </r>
    <r>
      <rPr>
        <b/>
        <sz val="10"/>
        <rFont val="Arial"/>
        <family val="0"/>
      </rPr>
      <t xml:space="preserve">Contingent Liabilities and Contingent  Assets . </t>
    </r>
    <r>
      <rPr>
        <sz val="10"/>
        <rFont val="Arial"/>
        <family val="0"/>
      </rPr>
      <t xml:space="preserve"> </t>
    </r>
  </si>
  <si>
    <t xml:space="preserve">   There is no contingent liability and contingent asset for the Group for the current and financial  </t>
  </si>
  <si>
    <t xml:space="preserve">   year-to-date.</t>
  </si>
  <si>
    <r>
      <t xml:space="preserve">13  </t>
    </r>
    <r>
      <rPr>
        <b/>
        <sz val="10"/>
        <rFont val="Arial"/>
        <family val="0"/>
      </rPr>
      <t>Capital Commitments.</t>
    </r>
    <r>
      <rPr>
        <sz val="10"/>
        <rFont val="Arial"/>
        <family val="0"/>
      </rPr>
      <t xml:space="preserve">  </t>
    </r>
  </si>
  <si>
    <t xml:space="preserve">  There were no commitment for purchase of property, plant  and equipment as at 30 June 2003</t>
  </si>
  <si>
    <t xml:space="preserve">Additional Information Required By KLSE Listing Requirements </t>
  </si>
  <si>
    <r>
      <t xml:space="preserve">14  </t>
    </r>
    <r>
      <rPr>
        <b/>
        <sz val="10"/>
        <rFont val="Arial"/>
        <family val="0"/>
      </rPr>
      <t>Review of  Performance.</t>
    </r>
    <r>
      <rPr>
        <sz val="10"/>
        <rFont val="Arial"/>
        <family val="0"/>
      </rPr>
      <t xml:space="preserve">  </t>
    </r>
  </si>
  <si>
    <t xml:space="preserve">  For the current quarter result, the Group registered  a higher revenue of RM12,921,000, as compare</t>
  </si>
  <si>
    <t xml:space="preserve">  to the preceding year's quarter result of RM10,405,000,  representing an increase of approximately</t>
  </si>
  <si>
    <t xml:space="preserve"> 24.18%, This was attributed to higher revenue of our subsidiary company SAC, which received a  </t>
  </si>
  <si>
    <t xml:space="preserve"> few overseas orders for supplying a range of the data communication cables. </t>
  </si>
  <si>
    <t xml:space="preserve">  However the current quarter result suffers a loss after tax of RM(481,000) as compared to the  </t>
  </si>
  <si>
    <t xml:space="preserve">  preceding year's quarter of RM1,222,000. The loss after tax was mainly due to lower selling price</t>
  </si>
  <si>
    <t xml:space="preserve">  as a result of intense competition from China cupper with increase in manufacturing costs of major</t>
  </si>
  <si>
    <t xml:space="preserve">  raw materials. Another factor that contributed to the loss was due to higher expenses incurred in</t>
  </si>
  <si>
    <t xml:space="preserve">  trial run and testing of new products.</t>
  </si>
  <si>
    <r>
      <t xml:space="preserve">15 </t>
    </r>
    <r>
      <rPr>
        <b/>
        <sz val="10"/>
        <rFont val="Arial"/>
        <family val="0"/>
      </rPr>
      <t>Comparison with Preceding Quarter’s Result</t>
    </r>
    <r>
      <rPr>
        <sz val="10"/>
        <rFont val="Arial"/>
        <family val="0"/>
      </rPr>
      <t xml:space="preserve">.  </t>
    </r>
  </si>
  <si>
    <t xml:space="preserve">  For the quarter under review, the group posted a higher revenue of RM12,921, as compared to the </t>
  </si>
  <si>
    <t xml:space="preserve">  preceding quarter result of RM 9,090,but the loss after tax for the current quarter RM(481,000) has </t>
  </si>
  <si>
    <t xml:space="preserve">  increased by 12.6% as compare to the first quarter result of RM(427,000). Under the competition </t>
  </si>
  <si>
    <t xml:space="preserve">  enviroment we have tried to be competitive in our products pricing in order to get new orders from </t>
  </si>
  <si>
    <t xml:space="preserve">  overseas market. The increase in the loss was also due to higher expenses incurred in further </t>
  </si>
  <si>
    <t xml:space="preserve"> develop and improve our capabilities in manufacturing a range of data communication cables as </t>
  </si>
  <si>
    <t xml:space="preserve"> well as investing in the mordern testing equipments and machineries.</t>
  </si>
  <si>
    <r>
      <t xml:space="preserve">16 </t>
    </r>
    <r>
      <rPr>
        <b/>
        <sz val="10"/>
        <rFont val="Arial"/>
        <family val="0"/>
      </rPr>
      <t>Prospects For The Financial  Year</t>
    </r>
    <r>
      <rPr>
        <sz val="10"/>
        <rFont val="Arial"/>
        <family val="0"/>
      </rPr>
      <t xml:space="preserve">  </t>
    </r>
  </si>
  <si>
    <t xml:space="preserve">  In year 2003, the Group has been intensifying its effort to secure more orders from the new MNC's</t>
  </si>
  <si>
    <t xml:space="preserve"> customers, despite slow down demand from US market. Market conditions will remain competitive </t>
  </si>
  <si>
    <t xml:space="preserve"> for the rest of the year, some customers are showing sign of increasing their orders. Hence ,the </t>
  </si>
  <si>
    <t xml:space="preserve"> management confident that the continued adverse in demand for data communication cable and </t>
  </si>
  <si>
    <t xml:space="preserve"> industries cables are good.</t>
  </si>
  <si>
    <t xml:space="preserve"> Barring  any unforeseen circumstances, the Board is cautiously optimistic that the result of  the </t>
  </si>
  <si>
    <t xml:space="preserve"> Group for the current financial year should be satisfatory.</t>
  </si>
  <si>
    <r>
      <t xml:space="preserve">17 </t>
    </r>
    <r>
      <rPr>
        <b/>
        <sz val="10"/>
        <rFont val="Arial"/>
        <family val="0"/>
      </rPr>
      <t xml:space="preserve">Profit Forecast or  Guarantee. </t>
    </r>
    <r>
      <rPr>
        <sz val="10"/>
        <rFont val="Arial"/>
        <family val="0"/>
      </rPr>
      <t xml:space="preserve"> </t>
    </r>
  </si>
  <si>
    <t xml:space="preserve">  There was no profit forecast or guarentee  made during the financial period under review.</t>
  </si>
  <si>
    <r>
      <t xml:space="preserve">18 </t>
    </r>
    <r>
      <rPr>
        <b/>
        <sz val="10"/>
        <rFont val="Arial"/>
        <family val="0"/>
      </rPr>
      <t>Taxation</t>
    </r>
  </si>
  <si>
    <t xml:space="preserve">   Taxation comprises the following-:</t>
  </si>
  <si>
    <t xml:space="preserve">                Individual Quarter</t>
  </si>
  <si>
    <t xml:space="preserve">                         Cumulative Quarter</t>
  </si>
  <si>
    <t xml:space="preserve">  Estimate tax expenses</t>
  </si>
  <si>
    <t xml:space="preserve">  Current year  taxation payable</t>
  </si>
  <si>
    <t xml:space="preserve">  (Under)/Overprovision in prior year</t>
  </si>
  <si>
    <t xml:space="preserve">  Transfer to/(from) deferred taxation</t>
  </si>
  <si>
    <t xml:space="preserve"> The estimated tax payable for the group for the current financial period is amounted to RM </t>
  </si>
  <si>
    <t xml:space="preserve">  24,000 because this is mainly due to the interest income from the licensed bank amounted to </t>
  </si>
  <si>
    <t xml:space="preserve">  RM 85,000 for the first and second quarters under review. </t>
  </si>
  <si>
    <t xml:space="preserve">  Supercomal  Advanced Cables Sdn Bhd, is the STB wholly owned subsidiary had been granted </t>
  </si>
  <si>
    <t xml:space="preserve">  Pioneer Status  by Malaysia Industrial Development Authority (MIDA) in principles on  27 July</t>
  </si>
  <si>
    <t xml:space="preserve">  2001 for a tax free period of 5 years from the production date, however, the relevent production </t>
  </si>
  <si>
    <t xml:space="preserve">  date has not been fixed by MIDA to date.</t>
  </si>
  <si>
    <r>
      <t>19</t>
    </r>
    <r>
      <rPr>
        <b/>
        <sz val="10"/>
        <rFont val="Arial"/>
        <family val="0"/>
      </rPr>
      <t xml:space="preserve"> Profits/(Losses) on Sale of Unquoted Investments and /(or) Properties </t>
    </r>
  </si>
  <si>
    <t xml:space="preserve">  There were no sales of unquoted investments or properties during the financial period under review.</t>
  </si>
  <si>
    <r>
      <t>20</t>
    </r>
    <r>
      <rPr>
        <b/>
        <sz val="10"/>
        <rFont val="Arial"/>
        <family val="0"/>
      </rPr>
      <t xml:space="preserve"> Quoted Securities and Investments.</t>
    </r>
  </si>
  <si>
    <t xml:space="preserve">  There were no purchases or disposals of quoted securities during the financial period under review</t>
  </si>
  <si>
    <t xml:space="preserve">  and there were no investments in quoted shares as at the end of the reporting period.</t>
  </si>
  <si>
    <r>
      <t xml:space="preserve">21 </t>
    </r>
    <r>
      <rPr>
        <b/>
        <sz val="10"/>
        <rFont val="Arial"/>
        <family val="0"/>
      </rPr>
      <t>Corporate Proposals</t>
    </r>
    <r>
      <rPr>
        <sz val="10"/>
        <rFont val="Arial"/>
        <family val="0"/>
      </rPr>
      <t xml:space="preserve"> </t>
    </r>
  </si>
  <si>
    <t xml:space="preserve">  There were no corporate proposals announced but not completed at the date of this report</t>
  </si>
  <si>
    <r>
      <t xml:space="preserve">22 </t>
    </r>
    <r>
      <rPr>
        <b/>
        <sz val="10"/>
        <rFont val="Arial"/>
        <family val="0"/>
      </rPr>
      <t>Borrowings and Debts Securities</t>
    </r>
    <r>
      <rPr>
        <sz val="10"/>
        <rFont val="Arial"/>
        <family val="0"/>
      </rPr>
      <t xml:space="preserve">  </t>
    </r>
  </si>
  <si>
    <t xml:space="preserve">    Group borrowings as at the end of the reporting period are as follows-</t>
  </si>
  <si>
    <t>`</t>
  </si>
  <si>
    <t xml:space="preserve">       Nature Of Borrowings</t>
  </si>
  <si>
    <t>Short Term Borrowings:-</t>
  </si>
  <si>
    <t xml:space="preserve"> Amount in  RM.                     </t>
  </si>
  <si>
    <t>(Payable Within 12 Months)</t>
  </si>
  <si>
    <t>(a) Portion  of Long Term Loans</t>
  </si>
  <si>
    <t xml:space="preserve"> Secured  Via Debenture Corporate Guarantee</t>
  </si>
  <si>
    <t>Long Term Borrowings:-</t>
  </si>
  <si>
    <t xml:space="preserve"> of Supercomal Technologies Berhad. </t>
  </si>
  <si>
    <t>(Payable After 12 Months)</t>
  </si>
  <si>
    <t xml:space="preserve">(b) Portion of Long Term Loans </t>
  </si>
  <si>
    <t>due</t>
  </si>
  <si>
    <t xml:space="preserve"> of Supercomal Technologies Berhad and the </t>
  </si>
  <si>
    <t xml:space="preserve"> First Legal Charges, On a Landed Property  </t>
  </si>
  <si>
    <t xml:space="preserve"> held under HS(D) 2807/95. PT30511 Mukim</t>
  </si>
  <si>
    <t xml:space="preserve"> of Sungai Petani, Daerah Kuala Muda, Kedah</t>
  </si>
  <si>
    <r>
      <t xml:space="preserve">23 </t>
    </r>
    <r>
      <rPr>
        <b/>
        <sz val="10"/>
        <rFont val="Arial"/>
        <family val="0"/>
      </rPr>
      <t>Off Balance Sheet Financial Instruments.</t>
    </r>
    <r>
      <rPr>
        <sz val="10"/>
        <rFont val="Arial"/>
        <family val="0"/>
      </rPr>
      <t xml:space="preserve">   </t>
    </r>
  </si>
  <si>
    <t xml:space="preserve">  There was no off balance sheet financial instrument utilised as at the date of this announcement.</t>
  </si>
  <si>
    <r>
      <t xml:space="preserve">24 </t>
    </r>
    <r>
      <rPr>
        <b/>
        <sz val="10"/>
        <rFont val="Arial"/>
        <family val="0"/>
      </rPr>
      <t>Changes in Material Litigation.</t>
    </r>
    <r>
      <rPr>
        <sz val="10"/>
        <rFont val="Arial"/>
        <family val="0"/>
      </rPr>
      <t xml:space="preserve">  </t>
    </r>
  </si>
  <si>
    <t xml:space="preserve">  There was no material litigation pending on the date of this announcement.</t>
  </si>
  <si>
    <r>
      <t xml:space="preserve">25 </t>
    </r>
    <r>
      <rPr>
        <b/>
        <sz val="10"/>
        <rFont val="Arial"/>
        <family val="0"/>
      </rPr>
      <t>Dividend Payable</t>
    </r>
    <r>
      <rPr>
        <sz val="10"/>
        <rFont val="Arial"/>
        <family val="0"/>
      </rPr>
      <t xml:space="preserve">.  </t>
    </r>
  </si>
  <si>
    <t xml:space="preserve">The Group and The Company </t>
  </si>
  <si>
    <t xml:space="preserve">     RM</t>
  </si>
  <si>
    <t>Dividend declared and paid:</t>
  </si>
  <si>
    <t>000</t>
  </si>
  <si>
    <t xml:space="preserve">   Final tax exempt dividend of  </t>
  </si>
  <si>
    <t xml:space="preserve">   5 sen per ordinary share, 2002</t>
  </si>
  <si>
    <t xml:space="preserve">  Special tax exempt dividend of</t>
  </si>
  <si>
    <t xml:space="preserve">   5 sen per ordinary share,  2002</t>
  </si>
  <si>
    <t xml:space="preserve"> 1,012.5</t>
  </si>
  <si>
    <t xml:space="preserve">   2,025.0</t>
  </si>
  <si>
    <t xml:space="preserve"> The Board of Directors proposed a final dividend of 5 sen per ordinary share, tax exempt and a special</t>
  </si>
  <si>
    <t xml:space="preserve"> dividend of 5 sen per ordinary share, tax exempt in respect of the previous financial year. The proposed  </t>
  </si>
  <si>
    <t xml:space="preserve"> final and special dividends was totally to RM2,025,000 and have not been included as liabilities in </t>
  </si>
  <si>
    <t xml:space="preserve"> the financial statements at the end of this period.</t>
  </si>
  <si>
    <r>
      <t xml:space="preserve">26 </t>
    </r>
    <r>
      <rPr>
        <b/>
        <sz val="10"/>
        <rFont val="Arial"/>
        <family val="0"/>
      </rPr>
      <t>Earnings Per Share (EPS)</t>
    </r>
  </si>
  <si>
    <r>
      <t xml:space="preserve">(a)   </t>
    </r>
    <r>
      <rPr>
        <b/>
        <sz val="10"/>
        <rFont val="Arial"/>
        <family val="0"/>
      </rPr>
      <t>Basic EPS</t>
    </r>
  </si>
  <si>
    <t xml:space="preserve">     Net loss attributable to shareholder</t>
  </si>
  <si>
    <t xml:space="preserve">    Weighted average number of ordinary</t>
  </si>
  <si>
    <t xml:space="preserve">    shares</t>
  </si>
  <si>
    <t xml:space="preserve">    Basic EPS (sen)</t>
  </si>
  <si>
    <r>
      <t xml:space="preserve">(b) </t>
    </r>
    <r>
      <rPr>
        <b/>
        <sz val="10"/>
        <rFont val="Arial"/>
        <family val="0"/>
      </rPr>
      <t xml:space="preserve"> Fully diluted EPS</t>
    </r>
  </si>
  <si>
    <t xml:space="preserve">    Not applicable.</t>
  </si>
  <si>
    <r>
      <t xml:space="preserve">27 </t>
    </r>
    <r>
      <rPr>
        <b/>
        <sz val="10"/>
        <rFont val="Arial"/>
        <family val="0"/>
      </rPr>
      <t xml:space="preserve">Authorisation for Issue </t>
    </r>
  </si>
  <si>
    <t xml:space="preserve">  The interim financial statements were authorised for issue by the Board of Directors in accordance</t>
  </si>
  <si>
    <t xml:space="preserve">  with a resolution of the directors on 29th August 2003.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</si>
</sst>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"/>
    <numFmt numFmtId="180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73" fontId="0" fillId="0" borderId="0" xfId="15" applyNumberFormat="1" applyAlignment="1">
      <alignment horizontal="center"/>
    </xf>
    <xf numFmtId="0" fontId="5" fillId="0" borderId="0" xfId="0" applyFon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173" fontId="0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173" fontId="0" fillId="0" borderId="0" xfId="15" applyNumberFormat="1" applyFont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5" xfId="0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4" xfId="15" applyNumberFormat="1" applyFont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6" xfId="15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9" xfId="15" applyNumberFormat="1" applyFont="1" applyBorder="1" applyAlignment="1">
      <alignment horizontal="center"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73" fontId="0" fillId="0" borderId="0" xfId="15" applyNumberFormat="1" applyFont="1" applyAlignment="1">
      <alignment/>
    </xf>
    <xf numFmtId="173" fontId="0" fillId="0" borderId="5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6" xfId="15" applyNumberFormat="1" applyFont="1" applyBorder="1" applyAlignment="1">
      <alignment horizontal="center"/>
    </xf>
    <xf numFmtId="173" fontId="0" fillId="0" borderId="6" xfId="15" applyNumberForma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173" fontId="0" fillId="0" borderId="3" xfId="15" applyNumberFormat="1" applyBorder="1" applyAlignment="1">
      <alignment/>
    </xf>
    <xf numFmtId="3" fontId="5" fillId="0" borderId="0" xfId="0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173" fontId="0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3" xfId="15" applyNumberForma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0" fillId="0" borderId="6" xfId="15" applyNumberFormat="1" applyFont="1" applyBorder="1" applyAlignment="1">
      <alignment/>
    </xf>
    <xf numFmtId="43" fontId="0" fillId="0" borderId="3" xfId="15" applyNumberFormat="1" applyBorder="1" applyAlignment="1">
      <alignment horizontal="center"/>
    </xf>
    <xf numFmtId="180" fontId="0" fillId="0" borderId="5" xfId="0" applyNumberFormat="1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left"/>
    </xf>
    <xf numFmtId="173" fontId="1" fillId="0" borderId="4" xfId="15" applyNumberFormat="1" applyFont="1" applyBorder="1" applyAlignment="1">
      <alignment horizontal="left"/>
    </xf>
    <xf numFmtId="173" fontId="0" fillId="0" borderId="0" xfId="15" applyNumberFormat="1" applyFont="1" applyBorder="1" applyAlignment="1">
      <alignment horizontal="left"/>
    </xf>
    <xf numFmtId="43" fontId="0" fillId="0" borderId="0" xfId="15" applyFont="1" applyBorder="1" applyAlignment="1">
      <alignment horizontal="left"/>
    </xf>
    <xf numFmtId="173" fontId="0" fillId="0" borderId="4" xfId="15" applyNumberFormat="1" applyFont="1" applyBorder="1" applyAlignment="1">
      <alignment horizontal="left"/>
    </xf>
    <xf numFmtId="173" fontId="0" fillId="0" borderId="5" xfId="15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80" fontId="0" fillId="0" borderId="0" xfId="0" applyNumberFormat="1" applyFont="1" applyBorder="1" applyAlignment="1" quotePrefix="1">
      <alignment/>
    </xf>
    <xf numFmtId="0" fontId="0" fillId="0" borderId="0" xfId="0" applyFont="1" applyAlignment="1" quotePrefix="1">
      <alignment horizontal="center"/>
    </xf>
    <xf numFmtId="173" fontId="0" fillId="0" borderId="0" xfId="0" applyNumberFormat="1" applyAlignment="1">
      <alignment/>
    </xf>
    <xf numFmtId="0" fontId="8" fillId="0" borderId="0" xfId="0" applyFont="1" applyAlignment="1" quotePrefix="1">
      <alignment/>
    </xf>
    <xf numFmtId="173" fontId="0" fillId="0" borderId="4" xfId="0" applyNumberFormat="1" applyBorder="1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73" fontId="0" fillId="0" borderId="0" xfId="15" applyNumberFormat="1" applyFont="1" applyBorder="1" applyAlignment="1">
      <alignment/>
    </xf>
    <xf numFmtId="3" fontId="0" fillId="0" borderId="9" xfId="0" applyNumberFormat="1" applyFont="1" applyBorder="1" applyAlignment="1" quotePrefix="1">
      <alignment/>
    </xf>
    <xf numFmtId="17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72" fontId="0" fillId="0" borderId="3" xfId="15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43" fontId="0" fillId="0" borderId="0" xfId="15" applyNumberForma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1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2" max="2" width="21.421875" style="0" customWidth="1"/>
    <col min="3" max="3" width="10.421875" style="0" customWidth="1"/>
    <col min="4" max="4" width="11.140625" style="0" customWidth="1"/>
    <col min="5" max="5" width="11.421875" style="0" customWidth="1"/>
    <col min="6" max="7" width="10.421875" style="0" customWidth="1"/>
  </cols>
  <sheetData>
    <row r="1" ht="18">
      <c r="A1" s="3" t="s">
        <v>0</v>
      </c>
    </row>
    <row r="2" ht="12.75">
      <c r="B2" t="s">
        <v>1</v>
      </c>
    </row>
    <row r="3" ht="12.75">
      <c r="A3" s="19" t="s">
        <v>2</v>
      </c>
    </row>
    <row r="4" spans="1:7" ht="12.75">
      <c r="A4" s="19" t="s">
        <v>3</v>
      </c>
      <c r="G4" s="12" t="s">
        <v>4</v>
      </c>
    </row>
    <row r="5" spans="4:5" ht="12.75">
      <c r="D5" t="s">
        <v>5</v>
      </c>
      <c r="E5" t="s">
        <v>6</v>
      </c>
    </row>
    <row r="6" spans="1:7" ht="12.75">
      <c r="A6" t="s">
        <v>7</v>
      </c>
      <c r="C6" s="44" t="s">
        <v>8</v>
      </c>
      <c r="D6" t="s">
        <v>9</v>
      </c>
      <c r="E6" t="s">
        <v>10</v>
      </c>
      <c r="F6" t="s">
        <v>11</v>
      </c>
      <c r="G6" t="s">
        <v>12</v>
      </c>
    </row>
    <row r="7" spans="1:7" ht="12.75">
      <c r="A7" t="s">
        <v>7</v>
      </c>
      <c r="C7" s="14" t="s">
        <v>13</v>
      </c>
      <c r="D7" s="14" t="s">
        <v>14</v>
      </c>
      <c r="E7" s="14" t="s">
        <v>15</v>
      </c>
      <c r="F7" s="14" t="s">
        <v>16</v>
      </c>
      <c r="G7" s="14"/>
    </row>
    <row r="8" spans="1:7" ht="12.75">
      <c r="A8" t="s">
        <v>7</v>
      </c>
      <c r="C8" s="88" t="s">
        <v>17</v>
      </c>
      <c r="D8" s="88" t="s">
        <v>18</v>
      </c>
      <c r="E8" s="88" t="s">
        <v>19</v>
      </c>
      <c r="F8" s="88" t="s">
        <v>20</v>
      </c>
      <c r="G8" s="88" t="s">
        <v>18</v>
      </c>
    </row>
    <row r="9" spans="1:7" ht="12.75">
      <c r="A9" s="18" t="s">
        <v>21</v>
      </c>
      <c r="C9" s="45" t="s">
        <v>7</v>
      </c>
      <c r="D9" s="45" t="s">
        <v>7</v>
      </c>
      <c r="E9" s="45" t="s">
        <v>7</v>
      </c>
      <c r="F9" s="45" t="s">
        <v>7</v>
      </c>
      <c r="G9" s="45" t="s">
        <v>7</v>
      </c>
    </row>
    <row r="11" spans="1:7" ht="12.75">
      <c r="A11" t="s">
        <v>22</v>
      </c>
      <c r="C11" s="9">
        <v>20250</v>
      </c>
      <c r="D11" s="9">
        <v>5937</v>
      </c>
      <c r="E11" s="9">
        <v>2629</v>
      </c>
      <c r="F11" s="9">
        <v>20285</v>
      </c>
      <c r="G11" s="9">
        <f>SUM(C11:F11)</f>
        <v>49101</v>
      </c>
    </row>
    <row r="12" ht="12.75">
      <c r="A12" t="s">
        <v>7</v>
      </c>
    </row>
    <row r="13" spans="1:7" ht="12.75">
      <c r="A13" t="s">
        <v>23</v>
      </c>
      <c r="F13" s="9">
        <v>-908</v>
      </c>
      <c r="G13" s="9">
        <v>-908</v>
      </c>
    </row>
    <row r="14" spans="1:7" ht="12.75">
      <c r="A14" t="s">
        <v>24</v>
      </c>
      <c r="F14" s="15" t="s">
        <v>7</v>
      </c>
      <c r="G14" s="15" t="s">
        <v>7</v>
      </c>
    </row>
    <row r="15" spans="6:7" ht="12.75">
      <c r="F15" s="15"/>
      <c r="G15" s="15"/>
    </row>
    <row r="16" spans="1:7" ht="12.75">
      <c r="A16" t="s">
        <v>25</v>
      </c>
      <c r="F16">
        <v>0</v>
      </c>
      <c r="G16">
        <v>0</v>
      </c>
    </row>
    <row r="18" ht="12.75">
      <c r="G18" t="s">
        <v>7</v>
      </c>
    </row>
    <row r="19" spans="1:7" ht="12.75">
      <c r="A19" t="s">
        <v>26</v>
      </c>
      <c r="C19" s="17">
        <v>20250</v>
      </c>
      <c r="D19" s="17">
        <v>5937</v>
      </c>
      <c r="E19" s="17">
        <v>2629</v>
      </c>
      <c r="F19" s="20">
        <f>+F11+F13</f>
        <v>19377</v>
      </c>
      <c r="G19" s="20">
        <f>SUM(C19:F19)</f>
        <v>48193</v>
      </c>
    </row>
    <row r="23" ht="12.75">
      <c r="A23" s="18" t="s">
        <v>27</v>
      </c>
    </row>
    <row r="24" ht="12.75">
      <c r="A24" t="s">
        <v>7</v>
      </c>
    </row>
    <row r="25" spans="1:7" ht="12.75">
      <c r="A25" t="s">
        <v>28</v>
      </c>
      <c r="C25" s="9">
        <v>20250</v>
      </c>
      <c r="D25" s="9">
        <v>5937</v>
      </c>
      <c r="E25" s="9">
        <v>2629</v>
      </c>
      <c r="F25" s="9">
        <v>19692</v>
      </c>
      <c r="G25" s="9">
        <v>48508</v>
      </c>
    </row>
    <row r="26" ht="12.75">
      <c r="A26" t="s">
        <v>7</v>
      </c>
    </row>
    <row r="27" spans="1:7" ht="12.75">
      <c r="A27" t="s">
        <v>29</v>
      </c>
      <c r="F27">
        <v>1700</v>
      </c>
      <c r="G27">
        <v>1700</v>
      </c>
    </row>
    <row r="28" spans="1:7" ht="12.75">
      <c r="A28" t="s">
        <v>24</v>
      </c>
      <c r="F28" s="15" t="s">
        <v>7</v>
      </c>
      <c r="G28" s="15" t="s">
        <v>7</v>
      </c>
    </row>
    <row r="29" spans="6:7" ht="12.75">
      <c r="F29" s="15"/>
      <c r="G29" s="15"/>
    </row>
    <row r="30" spans="1:7" ht="12.75">
      <c r="A30" t="s">
        <v>25</v>
      </c>
      <c r="F30">
        <v>0</v>
      </c>
      <c r="G30">
        <v>0</v>
      </c>
    </row>
    <row r="33" spans="1:7" ht="12.75">
      <c r="A33" t="s">
        <v>30</v>
      </c>
      <c r="C33" s="17">
        <v>20250</v>
      </c>
      <c r="D33" s="17">
        <v>5937</v>
      </c>
      <c r="E33" s="17">
        <v>2629</v>
      </c>
      <c r="F33" s="20">
        <f>+F25+F27</f>
        <v>21392</v>
      </c>
      <c r="G33" s="20">
        <f>SUM(C33:F33)</f>
        <v>50208</v>
      </c>
    </row>
    <row r="34" ht="12.75">
      <c r="A34" t="s">
        <v>7</v>
      </c>
    </row>
    <row r="37" ht="12.75">
      <c r="G37" s="15"/>
    </row>
    <row r="38" spans="1:7" ht="12.75">
      <c r="A38" s="19" t="s">
        <v>31</v>
      </c>
      <c r="G38" s="15"/>
    </row>
    <row r="39" spans="1:7" ht="12.75">
      <c r="A39" s="12" t="s">
        <v>32</v>
      </c>
      <c r="G39" s="15"/>
    </row>
    <row r="40" ht="12.75">
      <c r="G40" s="15"/>
    </row>
    <row r="41" ht="12.75">
      <c r="G41" s="15"/>
    </row>
    <row r="42" ht="12.75">
      <c r="G42" s="15"/>
    </row>
    <row r="43" ht="12.75">
      <c r="G43" s="15"/>
    </row>
    <row r="44" ht="12.75">
      <c r="G44" s="15"/>
    </row>
    <row r="45" ht="12.75">
      <c r="G45" s="15"/>
    </row>
    <row r="46" ht="12.75">
      <c r="G46" s="15"/>
    </row>
    <row r="47" ht="12.75">
      <c r="G47" s="15"/>
    </row>
    <row r="48" ht="12.75">
      <c r="G48" s="15"/>
    </row>
    <row r="49" ht="12.75">
      <c r="G49" s="15"/>
    </row>
    <row r="50" ht="12.75">
      <c r="G50" s="15"/>
    </row>
    <row r="51" ht="12.75">
      <c r="G51" s="15"/>
    </row>
    <row r="52" ht="12.75">
      <c r="G52" s="15"/>
    </row>
    <row r="53" ht="12.75">
      <c r="G53" s="15"/>
    </row>
    <row r="54" ht="12.75">
      <c r="G54" s="15"/>
    </row>
    <row r="55" ht="12.75">
      <c r="G55" s="15"/>
    </row>
    <row r="56" ht="12.75">
      <c r="G56" s="15"/>
    </row>
    <row r="57" ht="12.75">
      <c r="G57" s="15"/>
    </row>
    <row r="58" ht="12.75">
      <c r="G58" s="15"/>
    </row>
    <row r="59" ht="12.75">
      <c r="G59" s="15"/>
    </row>
    <row r="60" ht="12.75">
      <c r="G60" s="15"/>
    </row>
    <row r="61" ht="12.75">
      <c r="G61" s="15"/>
    </row>
    <row r="62" ht="12.75">
      <c r="G62" s="15"/>
    </row>
    <row r="63" ht="12.75">
      <c r="G63" s="15"/>
    </row>
    <row r="64" ht="12.75">
      <c r="G64" s="15"/>
    </row>
    <row r="65" ht="12.75">
      <c r="G65" s="15"/>
    </row>
    <row r="66" ht="12.75">
      <c r="G66" s="15"/>
    </row>
    <row r="67" ht="12.75">
      <c r="G67" s="15"/>
    </row>
    <row r="68" ht="12.75">
      <c r="G68" s="15"/>
    </row>
    <row r="69" ht="12.75">
      <c r="G69" s="15"/>
    </row>
    <row r="70" ht="12.75">
      <c r="G70" s="15"/>
    </row>
    <row r="71" ht="12.75">
      <c r="G71" s="15"/>
    </row>
    <row r="72" ht="12.75">
      <c r="G72" s="15"/>
    </row>
    <row r="73" ht="12.75">
      <c r="G73" s="15"/>
    </row>
    <row r="74" ht="12.75">
      <c r="G74" s="15"/>
    </row>
    <row r="75" ht="12.75">
      <c r="G75" s="15"/>
    </row>
    <row r="76" ht="12.75">
      <c r="G76" s="15"/>
    </row>
    <row r="77" ht="12.75">
      <c r="G77" s="15"/>
    </row>
    <row r="78" ht="12.75">
      <c r="G78" s="15"/>
    </row>
    <row r="79" ht="12.75">
      <c r="G79" s="15"/>
    </row>
    <row r="80" ht="12.75">
      <c r="G80" s="15"/>
    </row>
    <row r="81" ht="12.75">
      <c r="G81" s="15"/>
    </row>
    <row r="82" ht="12.75">
      <c r="G82" s="15"/>
    </row>
    <row r="83" ht="12.75">
      <c r="G83" s="15"/>
    </row>
    <row r="84" ht="12.75">
      <c r="G84" s="15"/>
    </row>
    <row r="85" ht="12.75">
      <c r="G85" s="15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L45" sqref="L45"/>
      <selection activeCell="A1" sqref="A1"/>
    </sheetView>
  </sheetViews>
  <sheetFormatPr defaultColWidth="9.140625" defaultRowHeight="12.75"/>
  <cols>
    <col min="6" max="6" width="11.140625" style="0" hidden="1" customWidth="1"/>
    <col min="7" max="7" width="11.28125" style="0" customWidth="1"/>
    <col min="8" max="8" width="2.57421875" style="0" customWidth="1"/>
    <col min="9" max="9" width="13.421875" style="23" customWidth="1"/>
    <col min="11" max="11" width="35.28125" style="0" hidden="1" customWidth="1"/>
    <col min="12" max="12" width="11.28125" style="0" hidden="1" customWidth="1"/>
    <col min="13" max="14" width="11.8515625" style="0" hidden="1" customWidth="1"/>
  </cols>
  <sheetData>
    <row r="1" ht="18">
      <c r="A1" s="3" t="s">
        <v>0</v>
      </c>
    </row>
    <row r="2" ht="12.75">
      <c r="K2" t="s">
        <v>33</v>
      </c>
    </row>
    <row r="3" spans="1:11" ht="12.75">
      <c r="A3" s="19" t="s">
        <v>34</v>
      </c>
      <c r="I3" s="12" t="s">
        <v>4</v>
      </c>
      <c r="K3" s="19" t="s">
        <v>34</v>
      </c>
    </row>
    <row r="4" spans="1:13" ht="12.75">
      <c r="A4" s="19" t="s">
        <v>35</v>
      </c>
      <c r="H4" s="12"/>
      <c r="I4" s="4">
        <v>2003</v>
      </c>
      <c r="M4" s="4">
        <v>2003</v>
      </c>
    </row>
    <row r="5" spans="8:13" ht="12.75">
      <c r="H5" s="12"/>
      <c r="I5" s="27" t="s">
        <v>36</v>
      </c>
      <c r="M5" s="27" t="s">
        <v>36</v>
      </c>
    </row>
    <row r="6" spans="8:13" ht="12.75">
      <c r="H6" s="12"/>
      <c r="I6" s="27" t="s">
        <v>37</v>
      </c>
      <c r="M6" s="27" t="s">
        <v>37</v>
      </c>
    </row>
    <row r="7" spans="8:13" ht="12.75">
      <c r="H7" s="12"/>
      <c r="I7" s="27" t="s">
        <v>38</v>
      </c>
      <c r="M7" s="27" t="s">
        <v>38</v>
      </c>
    </row>
    <row r="8" spans="9:14" ht="12.75">
      <c r="I8" s="45" t="s">
        <v>39</v>
      </c>
      <c r="N8" s="45" t="s">
        <v>39</v>
      </c>
    </row>
    <row r="9" ht="12.75">
      <c r="I9"/>
    </row>
    <row r="10" spans="1:14" ht="12.75">
      <c r="A10" t="s">
        <v>40</v>
      </c>
      <c r="I10" s="9">
        <v>-884</v>
      </c>
      <c r="K10" t="s">
        <v>40</v>
      </c>
      <c r="M10" s="9">
        <v>-883636</v>
      </c>
      <c r="N10" s="9">
        <v>-884</v>
      </c>
    </row>
    <row r="11" spans="1:14" ht="12.75">
      <c r="A11" s="12" t="s">
        <v>41</v>
      </c>
      <c r="I11" s="9"/>
      <c r="K11" t="s">
        <v>42</v>
      </c>
      <c r="L11">
        <v>1339507</v>
      </c>
      <c r="N11">
        <v>1340</v>
      </c>
    </row>
    <row r="12" spans="1:12" ht="12.75">
      <c r="A12" t="s">
        <v>43</v>
      </c>
      <c r="I12" s="9">
        <v>1340</v>
      </c>
      <c r="K12" t="s">
        <v>44</v>
      </c>
      <c r="L12">
        <v>86247</v>
      </c>
    </row>
    <row r="13" spans="1:14" ht="12.75">
      <c r="A13" t="s">
        <v>45</v>
      </c>
      <c r="I13" s="9">
        <v>-40</v>
      </c>
      <c r="K13" t="s">
        <v>46</v>
      </c>
      <c r="L13">
        <v>-41287</v>
      </c>
      <c r="N13" s="91">
        <f>SUM(L12:L14)/1000</f>
        <v>-39.668</v>
      </c>
    </row>
    <row r="14" spans="9:14" ht="12.75">
      <c r="I14" s="16"/>
      <c r="K14" t="s">
        <v>47</v>
      </c>
      <c r="L14">
        <v>-84628</v>
      </c>
      <c r="N14" s="14"/>
    </row>
    <row r="15" spans="1:14" ht="12.75">
      <c r="A15" t="s">
        <v>48</v>
      </c>
      <c r="I15" s="13">
        <f>+SUM(I10:I14)</f>
        <v>416</v>
      </c>
      <c r="L15" t="s">
        <v>7</v>
      </c>
      <c r="M15" s="13">
        <f>SUM(L11:L15)+M10</f>
        <v>416203</v>
      </c>
      <c r="N15" s="13">
        <f>+SUM(N10:N14)</f>
        <v>416.332</v>
      </c>
    </row>
    <row r="16" spans="9:14" ht="12.75">
      <c r="I16" s="9"/>
      <c r="K16" t="s">
        <v>49</v>
      </c>
      <c r="M16" s="13">
        <v>0</v>
      </c>
      <c r="N16" s="13"/>
    </row>
    <row r="17" spans="1:14" ht="12.75">
      <c r="A17" s="12" t="s">
        <v>50</v>
      </c>
      <c r="I17" s="15" t="s">
        <v>7</v>
      </c>
      <c r="K17" s="12" t="s">
        <v>50</v>
      </c>
      <c r="N17" s="13"/>
    </row>
    <row r="18" spans="1:14" ht="12.75">
      <c r="A18" t="s">
        <v>51</v>
      </c>
      <c r="I18" s="9">
        <v>956</v>
      </c>
      <c r="K18" t="s">
        <v>52</v>
      </c>
      <c r="L18">
        <f>956190</f>
        <v>956190</v>
      </c>
      <c r="N18">
        <v>956</v>
      </c>
    </row>
    <row r="19" spans="1:14" ht="12.75">
      <c r="A19" t="s">
        <v>53</v>
      </c>
      <c r="I19" s="9">
        <v>-3507</v>
      </c>
      <c r="K19" t="s">
        <v>53</v>
      </c>
      <c r="L19">
        <f>-4357-3502938</f>
        <v>-3507295</v>
      </c>
      <c r="N19">
        <v>-3507</v>
      </c>
    </row>
    <row r="20" spans="1:14" ht="12.75">
      <c r="A20" t="s">
        <v>54</v>
      </c>
      <c r="I20" s="16">
        <v>-132</v>
      </c>
      <c r="K20" t="s">
        <v>54</v>
      </c>
      <c r="L20">
        <f>-131337.83-621</f>
        <v>-131958.83</v>
      </c>
      <c r="M20" s="16">
        <f>SUM(L18:L20)</f>
        <v>-2683063.83</v>
      </c>
      <c r="N20" s="14">
        <v>-132</v>
      </c>
    </row>
    <row r="21" spans="9:14" ht="12.75">
      <c r="I21" s="21"/>
      <c r="N21" s="9"/>
    </row>
    <row r="22" spans="1:14" ht="12.75">
      <c r="A22" t="s">
        <v>55</v>
      </c>
      <c r="E22" s="13" t="s">
        <v>7</v>
      </c>
      <c r="I22" s="9">
        <v>-2267</v>
      </c>
      <c r="K22" t="s">
        <v>55</v>
      </c>
      <c r="L22" s="15" t="s">
        <v>7</v>
      </c>
      <c r="M22" s="9">
        <f>+SUM(M15:M20)</f>
        <v>-2266860.83</v>
      </c>
      <c r="N22" s="9">
        <f>+SUM(N15:N20)</f>
        <v>-2266.668</v>
      </c>
    </row>
    <row r="23" spans="5:14" ht="12.75">
      <c r="E23" s="13" t="s">
        <v>7</v>
      </c>
      <c r="I23" s="15" t="s">
        <v>7</v>
      </c>
      <c r="N23" s="13"/>
    </row>
    <row r="24" spans="1:14" ht="12.75">
      <c r="A24" t="s">
        <v>56</v>
      </c>
      <c r="I24" s="16">
        <v>-69</v>
      </c>
      <c r="K24" t="s">
        <v>56</v>
      </c>
      <c r="L24" t="s">
        <v>7</v>
      </c>
      <c r="M24" s="14">
        <f>-68831</f>
        <v>-68831</v>
      </c>
      <c r="N24" s="14">
        <v>-69</v>
      </c>
    </row>
    <row r="25" spans="1:11" ht="12.75">
      <c r="A25" s="12" t="s">
        <v>57</v>
      </c>
      <c r="I25" s="21"/>
      <c r="K25" s="12" t="s">
        <v>57</v>
      </c>
    </row>
    <row r="26" spans="1:14" ht="12.75">
      <c r="A26" t="s">
        <v>58</v>
      </c>
      <c r="I26" s="9">
        <f>+I22+I24</f>
        <v>-2336</v>
      </c>
      <c r="K26" t="s">
        <v>58</v>
      </c>
      <c r="L26" s="13" t="s">
        <v>7</v>
      </c>
      <c r="M26" s="21">
        <f>+M22+M24</f>
        <v>-2335691.83</v>
      </c>
      <c r="N26" s="9">
        <f>+N22+N24</f>
        <v>-2335.668</v>
      </c>
    </row>
    <row r="27" spans="9:14" ht="12.75">
      <c r="I27" s="9"/>
      <c r="L27" s="13" t="s">
        <v>7</v>
      </c>
      <c r="N27" s="13"/>
    </row>
    <row r="28" spans="1:11" ht="12.75">
      <c r="A28" s="12" t="s">
        <v>59</v>
      </c>
      <c r="I28" s="9"/>
      <c r="K28" s="12" t="s">
        <v>59</v>
      </c>
    </row>
    <row r="29" spans="1:14" ht="12.75">
      <c r="A29" t="s">
        <v>60</v>
      </c>
      <c r="I29" s="9">
        <v>85</v>
      </c>
      <c r="K29" t="s">
        <v>60</v>
      </c>
      <c r="L29" t="s">
        <v>61</v>
      </c>
      <c r="M29">
        <v>84629</v>
      </c>
      <c r="N29">
        <v>85</v>
      </c>
    </row>
    <row r="30" spans="1:14" ht="12.75">
      <c r="A30" t="s">
        <v>62</v>
      </c>
      <c r="I30" s="9">
        <v>-581</v>
      </c>
      <c r="K30" t="s">
        <v>62</v>
      </c>
      <c r="L30" s="13" t="s">
        <v>63</v>
      </c>
      <c r="M30">
        <v>-581060</v>
      </c>
      <c r="N30">
        <v>-581</v>
      </c>
    </row>
    <row r="31" spans="1:14" ht="12.75">
      <c r="A31" t="s">
        <v>64</v>
      </c>
      <c r="I31" s="9">
        <v>92</v>
      </c>
      <c r="K31" t="s">
        <v>64</v>
      </c>
      <c r="L31" t="s">
        <v>65</v>
      </c>
      <c r="M31">
        <v>92000</v>
      </c>
      <c r="N31">
        <v>92</v>
      </c>
    </row>
    <row r="32" spans="1:14" ht="12.75">
      <c r="A32" t="s">
        <v>66</v>
      </c>
      <c r="I32" s="17">
        <f>SUM(I29:I31)</f>
        <v>-404</v>
      </c>
      <c r="K32" t="s">
        <v>66</v>
      </c>
      <c r="M32" s="17">
        <f>SUM(M29:M31)</f>
        <v>-404431</v>
      </c>
      <c r="N32" s="17">
        <f>SUM(N29:N31)</f>
        <v>-404</v>
      </c>
    </row>
    <row r="33" spans="9:14" ht="12.75">
      <c r="I33" s="21"/>
      <c r="N33" s="13"/>
    </row>
    <row r="34" spans="1:11" ht="12.75">
      <c r="A34" s="12" t="s">
        <v>67</v>
      </c>
      <c r="I34" s="9"/>
      <c r="K34" s="12" t="s">
        <v>67</v>
      </c>
    </row>
    <row r="35" spans="2:14" ht="12.75">
      <c r="B35" t="s">
        <v>68</v>
      </c>
      <c r="I35" s="9">
        <v>0</v>
      </c>
      <c r="K35" t="s">
        <v>68</v>
      </c>
      <c r="M35" s="9">
        <v>0</v>
      </c>
      <c r="N35" s="9">
        <v>0</v>
      </c>
    </row>
    <row r="36" spans="2:14" ht="12.75">
      <c r="B36" t="s">
        <v>69</v>
      </c>
      <c r="I36" s="9">
        <v>-490</v>
      </c>
      <c r="K36" t="s">
        <v>69</v>
      </c>
      <c r="L36" t="s">
        <v>70</v>
      </c>
      <c r="M36" s="9">
        <v>-489600</v>
      </c>
      <c r="N36" s="9">
        <f>-489600/1000</f>
        <v>-489.6</v>
      </c>
    </row>
    <row r="37" spans="9:14" ht="12.75">
      <c r="I37" s="9"/>
      <c r="M37" s="9">
        <v>0</v>
      </c>
      <c r="N37" s="9">
        <v>0</v>
      </c>
    </row>
    <row r="38" spans="1:14" ht="12.75">
      <c r="A38" t="s">
        <v>71</v>
      </c>
      <c r="I38" s="17">
        <f>SUM(I35:I36)</f>
        <v>-490</v>
      </c>
      <c r="K38" t="s">
        <v>71</v>
      </c>
      <c r="M38" s="17">
        <f>SUM(M35:M37)</f>
        <v>-489600</v>
      </c>
      <c r="N38" s="17">
        <f>SUM(N35:N37)</f>
        <v>-489.6</v>
      </c>
    </row>
    <row r="39" spans="9:14" ht="12.75">
      <c r="I39" s="22" t="s">
        <v>7</v>
      </c>
      <c r="M39" s="22">
        <f>+M26+M32+M38</f>
        <v>-3229722.83</v>
      </c>
      <c r="N39" s="22" t="s">
        <v>7</v>
      </c>
    </row>
    <row r="40" spans="1:14" ht="12.75">
      <c r="A40" t="s">
        <v>72</v>
      </c>
      <c r="E40" s="13" t="s">
        <v>7</v>
      </c>
      <c r="I40" s="21">
        <v>-3230</v>
      </c>
      <c r="K40" t="s">
        <v>72</v>
      </c>
      <c r="M40" s="21">
        <f>+M44-M42</f>
        <v>-3229723</v>
      </c>
      <c r="N40" s="21">
        <f>+(N44-N42)</f>
        <v>-3229.722999999999</v>
      </c>
    </row>
    <row r="41" spans="9:14" ht="12.75">
      <c r="I41" s="15" t="s">
        <v>7</v>
      </c>
      <c r="M41" s="15" t="s">
        <v>7</v>
      </c>
      <c r="N41" s="15" t="s">
        <v>7</v>
      </c>
    </row>
    <row r="42" spans="1:14" ht="12.75">
      <c r="A42" t="s">
        <v>73</v>
      </c>
      <c r="I42" s="9">
        <v>11040</v>
      </c>
      <c r="K42" t="s">
        <v>73</v>
      </c>
      <c r="M42" s="9">
        <v>11039791</v>
      </c>
      <c r="N42" s="15">
        <f>11039791/1000</f>
        <v>11039.791</v>
      </c>
    </row>
    <row r="43" spans="9:14" ht="12.75">
      <c r="I43" s="9"/>
      <c r="M43" s="9"/>
      <c r="N43" s="9"/>
    </row>
    <row r="44" spans="1:14" ht="13.5" thickBot="1">
      <c r="A44" t="s">
        <v>74</v>
      </c>
      <c r="I44" s="10">
        <v>7810</v>
      </c>
      <c r="K44" t="s">
        <v>74</v>
      </c>
      <c r="M44" s="10">
        <v>7810068</v>
      </c>
      <c r="N44" s="10">
        <f>7810068/1000</f>
        <v>7810.068</v>
      </c>
    </row>
    <row r="45" ht="13.5" thickTop="1">
      <c r="L45" t="s">
        <v>7</v>
      </c>
    </row>
    <row r="46" ht="12.75">
      <c r="A46" s="19" t="s">
        <v>75</v>
      </c>
    </row>
    <row r="47" ht="12.75">
      <c r="A47" s="12" t="s">
        <v>76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E46" sqref="E46"/>
      <selection activeCell="A1" sqref="A1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12.7109375" style="0" customWidth="1"/>
    <col min="4" max="4" width="12.57421875" style="0" customWidth="1"/>
    <col min="5" max="5" width="13.00390625" style="0" customWidth="1"/>
    <col min="6" max="6" width="12.140625" style="0" customWidth="1"/>
    <col min="7" max="7" width="0" style="0" hidden="1" customWidth="1"/>
    <col min="9" max="9" width="30.140625" style="0" hidden="1" customWidth="1"/>
    <col min="10" max="10" width="12.8515625" style="0" hidden="1" customWidth="1"/>
    <col min="11" max="11" width="12.00390625" style="0" hidden="1" customWidth="1"/>
    <col min="12" max="12" width="11.28125" style="0" hidden="1" customWidth="1"/>
    <col min="13" max="13" width="12.7109375" style="0" hidden="1" customWidth="1"/>
  </cols>
  <sheetData>
    <row r="1" spans="1:2" ht="18">
      <c r="A1" s="3" t="s">
        <v>0</v>
      </c>
      <c r="B1" s="3"/>
    </row>
    <row r="2" spans="2:10" ht="12.75">
      <c r="B2" t="s">
        <v>1</v>
      </c>
      <c r="J2" t="s">
        <v>77</v>
      </c>
    </row>
    <row r="3" spans="1:10" ht="12.75">
      <c r="A3" s="19" t="s">
        <v>78</v>
      </c>
      <c r="B3" s="18"/>
      <c r="J3" t="s">
        <v>79</v>
      </c>
    </row>
    <row r="4" spans="1:5" ht="12.75">
      <c r="A4" s="19" t="s">
        <v>80</v>
      </c>
      <c r="B4" s="18"/>
      <c r="C4" s="12" t="s">
        <v>4</v>
      </c>
      <c r="E4" s="12" t="s">
        <v>4</v>
      </c>
    </row>
    <row r="5" spans="1:13" ht="12.75">
      <c r="A5" s="18"/>
      <c r="B5" s="18"/>
      <c r="F5" s="44"/>
      <c r="M5" t="s">
        <v>81</v>
      </c>
    </row>
    <row r="6" spans="1:13" ht="12.75">
      <c r="A6" s="18"/>
      <c r="B6" s="18"/>
      <c r="C6" s="71" t="s">
        <v>82</v>
      </c>
      <c r="E6" s="71" t="s">
        <v>83</v>
      </c>
      <c r="M6" t="s">
        <v>84</v>
      </c>
    </row>
    <row r="7" spans="2:13" ht="12.75">
      <c r="B7" t="s">
        <v>85</v>
      </c>
      <c r="C7" s="71" t="s">
        <v>86</v>
      </c>
      <c r="D7" s="71" t="s">
        <v>87</v>
      </c>
      <c r="E7" s="71" t="s">
        <v>86</v>
      </c>
      <c r="F7" s="71" t="s">
        <v>87</v>
      </c>
      <c r="M7" t="s">
        <v>88</v>
      </c>
    </row>
    <row r="8" spans="1:13" ht="12.75">
      <c r="A8" s="18"/>
      <c r="B8" s="18"/>
      <c r="C8" s="45" t="s">
        <v>39</v>
      </c>
      <c r="D8" s="45" t="s">
        <v>89</v>
      </c>
      <c r="E8" s="45" t="s">
        <v>39</v>
      </c>
      <c r="F8" s="45" t="s">
        <v>89</v>
      </c>
      <c r="M8" t="s">
        <v>90</v>
      </c>
    </row>
    <row r="9" spans="1:13" ht="12.75">
      <c r="A9" s="18"/>
      <c r="B9" s="18"/>
      <c r="C9" s="72" t="s">
        <v>7</v>
      </c>
      <c r="D9" s="72" t="s">
        <v>7</v>
      </c>
      <c r="E9" s="72" t="s">
        <v>7</v>
      </c>
      <c r="F9" s="72" t="s">
        <v>7</v>
      </c>
      <c r="J9" t="s">
        <v>91</v>
      </c>
      <c r="K9" t="s">
        <v>92</v>
      </c>
      <c r="L9" t="s">
        <v>93</v>
      </c>
      <c r="M9" t="s">
        <v>94</v>
      </c>
    </row>
    <row r="10" spans="1:12" ht="12.75">
      <c r="A10" s="76" t="s">
        <v>95</v>
      </c>
      <c r="B10" s="76"/>
      <c r="C10" s="77">
        <f>-9090+E10</f>
        <v>12921</v>
      </c>
      <c r="D10" s="77">
        <v>10405</v>
      </c>
      <c r="E10" s="77">
        <v>22011</v>
      </c>
      <c r="F10" s="13">
        <v>18046</v>
      </c>
      <c r="I10" s="76" t="s">
        <v>95</v>
      </c>
      <c r="J10" s="9">
        <f>+K10+L10</f>
        <v>22011119.64</v>
      </c>
      <c r="K10" s="9">
        <f>9476505.05-4865.74</f>
        <v>9471639.31</v>
      </c>
      <c r="L10" s="9">
        <f>12577847.65-38367.32</f>
        <v>12539480.33</v>
      </c>
    </row>
    <row r="11" spans="1:12" ht="12.75">
      <c r="A11" t="s">
        <v>96</v>
      </c>
      <c r="C11" s="22">
        <f>+E11+8247</f>
        <v>-12756</v>
      </c>
      <c r="D11" s="16">
        <v>-8278</v>
      </c>
      <c r="E11" s="22">
        <v>-21003</v>
      </c>
      <c r="F11" s="89">
        <v>-14496</v>
      </c>
      <c r="I11" t="s">
        <v>96</v>
      </c>
      <c r="J11" s="9">
        <f>+K11+L11</f>
        <v>21002985.15</v>
      </c>
      <c r="K11" s="9">
        <f>13525036.78-4180618.36</f>
        <v>9344418.42</v>
      </c>
      <c r="L11" s="9">
        <f>11761508.59-102941.86</f>
        <v>11658566.73</v>
      </c>
    </row>
    <row r="12" spans="1:12" ht="12.75">
      <c r="A12" t="s">
        <v>97</v>
      </c>
      <c r="C12" s="13">
        <f>+C10+C11</f>
        <v>165</v>
      </c>
      <c r="D12" s="13">
        <f>2149-22</f>
        <v>2127</v>
      </c>
      <c r="E12" s="13">
        <f>+E10+E11</f>
        <v>1008</v>
      </c>
      <c r="F12" s="13">
        <v>3550</v>
      </c>
      <c r="I12" t="s">
        <v>97</v>
      </c>
      <c r="J12" s="9">
        <f>+J10-J11</f>
        <v>1008134.4900000021</v>
      </c>
      <c r="K12" s="9">
        <f>+K10-K11</f>
        <v>127220.8900000006</v>
      </c>
      <c r="L12" s="9">
        <f>+L10-L11</f>
        <v>880913.5999999996</v>
      </c>
    </row>
    <row r="13" spans="3:13" ht="12.75">
      <c r="C13" s="13"/>
      <c r="D13" s="13"/>
      <c r="E13" s="13"/>
      <c r="F13" s="13" t="s">
        <v>7</v>
      </c>
      <c r="J13" s="9"/>
      <c r="K13" s="9"/>
      <c r="L13" s="9"/>
      <c r="M13" t="s">
        <v>98</v>
      </c>
    </row>
    <row r="14" spans="1:13" ht="12.75">
      <c r="A14" t="s">
        <v>99</v>
      </c>
      <c r="B14">
        <v>1</v>
      </c>
      <c r="C14" s="9">
        <v>456</v>
      </c>
      <c r="D14" s="9">
        <v>349</v>
      </c>
      <c r="E14" s="9">
        <v>726</v>
      </c>
      <c r="F14" s="13">
        <v>933</v>
      </c>
      <c r="I14" t="s">
        <v>100</v>
      </c>
      <c r="J14" s="9">
        <f>+J46</f>
        <v>726236.14</v>
      </c>
      <c r="K14" s="9">
        <v>894788.16</v>
      </c>
      <c r="L14" s="9">
        <v>119784.32</v>
      </c>
      <c r="M14" s="23">
        <v>-300000</v>
      </c>
    </row>
    <row r="15" spans="1:13" ht="12.75">
      <c r="A15" t="s">
        <v>101</v>
      </c>
      <c r="C15" s="9">
        <f>1288-2135-12</f>
        <v>-859</v>
      </c>
      <c r="D15" s="9">
        <v>-1014</v>
      </c>
      <c r="E15" s="9">
        <v>-2147</v>
      </c>
      <c r="F15" s="13">
        <v>-2167</v>
      </c>
      <c r="I15" t="s">
        <v>102</v>
      </c>
      <c r="J15" s="9">
        <f>+K15+L15+M15</f>
        <v>-2146578.26</v>
      </c>
      <c r="K15" s="9">
        <f>-1819209.92-10311.81</f>
        <v>-1829521.73</v>
      </c>
      <c r="L15" s="9">
        <f>-1015743.92-L17-L16-L19-1353.05</f>
        <v>-617056.53</v>
      </c>
      <c r="M15" s="23">
        <f>300000</f>
        <v>300000</v>
      </c>
    </row>
    <row r="16" spans="1:13" ht="12.75">
      <c r="A16" t="s">
        <v>103</v>
      </c>
      <c r="C16" s="9">
        <f>194-348</f>
        <v>-154</v>
      </c>
      <c r="D16" s="9">
        <v>-136</v>
      </c>
      <c r="E16" s="9">
        <v>-348</v>
      </c>
      <c r="F16" s="13">
        <v>-326</v>
      </c>
      <c r="I16" t="s">
        <v>104</v>
      </c>
      <c r="J16" s="9">
        <f>+K16+L16</f>
        <v>-348137.66</v>
      </c>
      <c r="K16" s="9">
        <v>-58748.94</v>
      </c>
      <c r="L16" s="9">
        <v>-289388.72</v>
      </c>
      <c r="M16" s="90" t="s">
        <v>105</v>
      </c>
    </row>
    <row r="17" spans="1:12" ht="12.75">
      <c r="A17" t="s">
        <v>106</v>
      </c>
      <c r="C17" s="16">
        <f>11-37</f>
        <v>-26</v>
      </c>
      <c r="D17" s="16">
        <v>-13</v>
      </c>
      <c r="E17" s="16">
        <v>-37</v>
      </c>
      <c r="F17" s="89">
        <v>-30</v>
      </c>
      <c r="I17" t="s">
        <v>107</v>
      </c>
      <c r="J17" s="9">
        <f>+K17+L17+M17</f>
        <v>-37044.64</v>
      </c>
      <c r="K17" s="9">
        <v>-12639.46</v>
      </c>
      <c r="L17" s="9">
        <v>-24405.18</v>
      </c>
    </row>
    <row r="18" spans="1:12" ht="12.75">
      <c r="A18" s="75" t="s">
        <v>108</v>
      </c>
      <c r="C18" s="9">
        <f>SUM(C12:C17)</f>
        <v>-418</v>
      </c>
      <c r="D18" s="9">
        <f>1247+66</f>
        <v>1313</v>
      </c>
      <c r="E18" s="9">
        <f>SUM(E12:E17)</f>
        <v>-798</v>
      </c>
      <c r="F18" s="13">
        <v>1960</v>
      </c>
      <c r="I18" s="75" t="s">
        <v>108</v>
      </c>
      <c r="J18" s="9">
        <f>SUM(J12:J17)</f>
        <v>-797389.9299999975</v>
      </c>
      <c r="K18" s="9">
        <f>SUM(K12:K17)</f>
        <v>-878901.0799999994</v>
      </c>
      <c r="L18" s="9">
        <f>SUM(L12:L17)</f>
        <v>69847.4899999997</v>
      </c>
    </row>
    <row r="19" spans="1:12" ht="12.75">
      <c r="A19" s="76" t="s">
        <v>109</v>
      </c>
      <c r="B19" s="76"/>
      <c r="C19" s="77">
        <f>35-86</f>
        <v>-51</v>
      </c>
      <c r="D19" s="9">
        <v>-66</v>
      </c>
      <c r="E19" s="77">
        <v>-86</v>
      </c>
      <c r="F19" s="13">
        <v>-135</v>
      </c>
      <c r="I19" s="76" t="s">
        <v>109</v>
      </c>
      <c r="J19" s="9">
        <f>+K19+L19+M19</f>
        <v>-86246.54</v>
      </c>
      <c r="K19" s="9">
        <v>0</v>
      </c>
      <c r="L19" s="9">
        <v>-86246.54</v>
      </c>
    </row>
    <row r="20" spans="1:12" ht="12.75">
      <c r="A20" s="75" t="s">
        <v>7</v>
      </c>
      <c r="B20" s="75"/>
      <c r="C20" s="74" t="s">
        <v>7</v>
      </c>
      <c r="D20" s="77" t="s">
        <v>7</v>
      </c>
      <c r="E20" s="74" t="s">
        <v>7</v>
      </c>
      <c r="F20" s="13" t="s">
        <v>7</v>
      </c>
      <c r="I20" s="75" t="s">
        <v>7</v>
      </c>
      <c r="J20" s="9"/>
      <c r="K20" s="9" t="s">
        <v>7</v>
      </c>
      <c r="L20" s="9" t="s">
        <v>7</v>
      </c>
    </row>
    <row r="21" spans="1:12" ht="12.75">
      <c r="A21" s="75" t="s">
        <v>110</v>
      </c>
      <c r="B21" s="75"/>
      <c r="C21" s="78">
        <v>0</v>
      </c>
      <c r="D21" s="78">
        <v>0</v>
      </c>
      <c r="E21" s="78">
        <v>0</v>
      </c>
      <c r="F21" s="89">
        <v>0</v>
      </c>
      <c r="I21" s="75" t="s">
        <v>110</v>
      </c>
      <c r="J21" s="9"/>
      <c r="K21" s="9"/>
      <c r="L21" s="9" t="s">
        <v>7</v>
      </c>
    </row>
    <row r="22" spans="1:13" ht="12.75">
      <c r="A22" s="75" t="s">
        <v>111</v>
      </c>
      <c r="B22" s="75"/>
      <c r="C22" s="79">
        <f>415-884</f>
        <v>-469</v>
      </c>
      <c r="D22" s="79">
        <v>1247</v>
      </c>
      <c r="E22" s="79">
        <v>-884</v>
      </c>
      <c r="F22" s="13">
        <v>1825</v>
      </c>
      <c r="I22" s="75" t="s">
        <v>111</v>
      </c>
      <c r="J22" s="9">
        <f>+J19+J18</f>
        <v>-883636.4699999975</v>
      </c>
      <c r="K22" s="9">
        <f>+K19+K18</f>
        <v>-878901.0799999994</v>
      </c>
      <c r="L22" s="9">
        <f>+L19+L18</f>
        <v>-16399.050000000294</v>
      </c>
      <c r="M22" s="13" t="s">
        <v>7</v>
      </c>
    </row>
    <row r="23" spans="1:12" ht="12.75">
      <c r="A23" s="75" t="s">
        <v>7</v>
      </c>
      <c r="B23" s="75"/>
      <c r="C23" s="79"/>
      <c r="D23" s="79"/>
      <c r="E23" s="79"/>
      <c r="F23" s="13" t="s">
        <v>7</v>
      </c>
      <c r="I23" s="75" t="s">
        <v>7</v>
      </c>
      <c r="J23" s="9"/>
      <c r="K23" s="9"/>
      <c r="L23" s="9"/>
    </row>
    <row r="24" spans="1:12" ht="12.75">
      <c r="A24" s="76" t="s">
        <v>112</v>
      </c>
      <c r="B24" s="76">
        <v>18</v>
      </c>
      <c r="C24" s="79">
        <v>-12</v>
      </c>
      <c r="D24" s="79">
        <v>-25</v>
      </c>
      <c r="E24" s="79">
        <f>-12-12</f>
        <v>-24</v>
      </c>
      <c r="F24" s="13">
        <v>-125</v>
      </c>
      <c r="I24" s="76" t="s">
        <v>113</v>
      </c>
      <c r="J24" s="9">
        <f>-12000-12000</f>
        <v>-24000</v>
      </c>
      <c r="K24" s="9">
        <v>-20000</v>
      </c>
      <c r="L24" s="9">
        <v>-4000</v>
      </c>
    </row>
    <row r="25" spans="1:12" ht="12.75">
      <c r="A25" s="75" t="s">
        <v>114</v>
      </c>
      <c r="B25" s="75"/>
      <c r="C25" s="79">
        <f>427-896-12</f>
        <v>-481</v>
      </c>
      <c r="D25" s="79">
        <v>1222</v>
      </c>
      <c r="E25" s="79">
        <f>-896-12</f>
        <v>-908</v>
      </c>
      <c r="F25" s="13">
        <v>1700</v>
      </c>
      <c r="I25" s="75" t="s">
        <v>114</v>
      </c>
      <c r="J25" s="9">
        <f>+J24+J22</f>
        <v>-907636.4699999975</v>
      </c>
      <c r="K25" s="9">
        <f>+K24+K22</f>
        <v>-898901.0799999994</v>
      </c>
      <c r="L25" s="9">
        <f>+L24+L22</f>
        <v>-20399.050000000294</v>
      </c>
    </row>
    <row r="26" spans="1:12" ht="12.75">
      <c r="A26" s="75"/>
      <c r="B26" s="75"/>
      <c r="C26" s="79"/>
      <c r="D26" s="79"/>
      <c r="E26" s="79"/>
      <c r="F26" s="13" t="s">
        <v>7</v>
      </c>
      <c r="I26" s="75"/>
      <c r="J26" s="9" t="s">
        <v>7</v>
      </c>
      <c r="K26" s="9"/>
      <c r="L26" s="9"/>
    </row>
    <row r="27" spans="1:12" ht="12.75">
      <c r="A27" s="75" t="s">
        <v>115</v>
      </c>
      <c r="B27" s="75"/>
      <c r="C27" s="79">
        <v>0</v>
      </c>
      <c r="D27" s="79"/>
      <c r="E27" s="79" t="s">
        <v>7</v>
      </c>
      <c r="F27" s="13">
        <v>0</v>
      </c>
      <c r="I27" s="75" t="s">
        <v>115</v>
      </c>
      <c r="J27" s="9">
        <v>0</v>
      </c>
      <c r="K27" s="9">
        <v>0</v>
      </c>
      <c r="L27" s="9">
        <v>0</v>
      </c>
    </row>
    <row r="28" spans="1:12" ht="12.75">
      <c r="A28" s="75" t="s">
        <v>116</v>
      </c>
      <c r="B28" s="75"/>
      <c r="C28" s="82">
        <f>-469-12</f>
        <v>-481</v>
      </c>
      <c r="D28" s="82">
        <v>1222</v>
      </c>
      <c r="E28" s="82">
        <f>-896-12</f>
        <v>-908</v>
      </c>
      <c r="F28" s="20">
        <v>1700</v>
      </c>
      <c r="I28" s="75" t="s">
        <v>116</v>
      </c>
      <c r="J28" s="9">
        <f>+J27+J25</f>
        <v>-907636.4699999975</v>
      </c>
      <c r="K28" s="9">
        <f>+K27+K25</f>
        <v>-898901.0799999994</v>
      </c>
      <c r="L28" s="9">
        <f>+L27+L25</f>
        <v>-20399.050000000294</v>
      </c>
    </row>
    <row r="29" spans="1:12" ht="12.75">
      <c r="A29" s="75" t="s">
        <v>7</v>
      </c>
      <c r="B29" s="75"/>
      <c r="C29" s="79"/>
      <c r="D29" s="79"/>
      <c r="E29" s="79"/>
      <c r="F29" s="13" t="s">
        <v>7</v>
      </c>
      <c r="I29" s="75" t="s">
        <v>7</v>
      </c>
      <c r="J29" s="9"/>
      <c r="K29" s="9"/>
      <c r="L29" s="9"/>
    </row>
    <row r="30" spans="1:12" ht="12.75">
      <c r="A30" s="75" t="s">
        <v>117</v>
      </c>
      <c r="B30" s="75" t="s">
        <v>118</v>
      </c>
      <c r="C30" s="80">
        <f>+C28/20250*100</f>
        <v>-2.3753086419753084</v>
      </c>
      <c r="D30" s="80">
        <f>+D28/20250*100</f>
        <v>6.034567901234568</v>
      </c>
      <c r="E30" s="80">
        <f>+E28/20250*100</f>
        <v>-4.483950617283951</v>
      </c>
      <c r="F30" s="13">
        <v>8</v>
      </c>
      <c r="I30" s="75" t="s">
        <v>117</v>
      </c>
      <c r="J30" s="9">
        <f>+J28/202500</f>
        <v>-4.4821554074073955</v>
      </c>
      <c r="K30" s="9"/>
      <c r="L30" s="9"/>
    </row>
    <row r="31" spans="1:12" ht="12.75">
      <c r="A31" s="75" t="s">
        <v>119</v>
      </c>
      <c r="B31" s="75" t="s">
        <v>120</v>
      </c>
      <c r="C31" s="81">
        <v>0</v>
      </c>
      <c r="D31" s="81">
        <v>0</v>
      </c>
      <c r="E31" s="81">
        <v>0</v>
      </c>
      <c r="F31" s="89">
        <v>0</v>
      </c>
      <c r="I31" s="75" t="s">
        <v>119</v>
      </c>
      <c r="J31" s="9"/>
      <c r="K31" s="9"/>
      <c r="L31" s="9"/>
    </row>
    <row r="32" spans="1:12" ht="12.75">
      <c r="A32" s="75"/>
      <c r="B32" s="75"/>
      <c r="C32" s="79"/>
      <c r="D32" s="79"/>
      <c r="E32" s="79"/>
      <c r="F32" s="13" t="s">
        <v>7</v>
      </c>
      <c r="G32" s="4"/>
      <c r="I32" s="75"/>
      <c r="J32" s="101"/>
      <c r="K32" s="9"/>
      <c r="L32" s="9"/>
    </row>
    <row r="33" spans="1:12" ht="12.75">
      <c r="A33" s="73" t="s">
        <v>121</v>
      </c>
      <c r="B33" s="73"/>
      <c r="C33" s="79"/>
      <c r="D33" s="79"/>
      <c r="E33" s="79"/>
      <c r="F33" s="13" t="s">
        <v>7</v>
      </c>
      <c r="G33" s="4"/>
      <c r="I33" s="73" t="s">
        <v>121</v>
      </c>
      <c r="J33" s="101"/>
      <c r="K33" s="9"/>
      <c r="L33" s="9"/>
    </row>
    <row r="34" spans="1:12" ht="12.75">
      <c r="A34" s="75" t="s">
        <v>122</v>
      </c>
      <c r="B34" s="75"/>
      <c r="C34" s="79">
        <v>74</v>
      </c>
      <c r="D34" s="79">
        <v>0</v>
      </c>
      <c r="E34" s="79">
        <v>74</v>
      </c>
      <c r="F34" s="13">
        <v>47</v>
      </c>
      <c r="I34" s="75" t="s">
        <v>122</v>
      </c>
      <c r="J34" s="9">
        <f>+L34+K34</f>
        <v>73956.17</v>
      </c>
      <c r="K34" s="9">
        <f>92000-16593.83</f>
        <v>75406.17</v>
      </c>
      <c r="L34" s="9">
        <v>-1450</v>
      </c>
    </row>
    <row r="35" spans="1:12" ht="12.75">
      <c r="A35" s="75" t="s">
        <v>123</v>
      </c>
      <c r="B35" s="75"/>
      <c r="C35" s="79">
        <v>0</v>
      </c>
      <c r="D35" s="79">
        <v>0</v>
      </c>
      <c r="E35" s="79">
        <v>0</v>
      </c>
      <c r="F35" s="13">
        <v>174</v>
      </c>
      <c r="I35" s="75" t="s">
        <v>123</v>
      </c>
      <c r="J35" s="9"/>
      <c r="K35" s="9"/>
      <c r="L35" s="9"/>
    </row>
    <row r="36" spans="1:12" ht="12.75">
      <c r="A36" s="75" t="s">
        <v>124</v>
      </c>
      <c r="B36" s="75"/>
      <c r="C36" s="79"/>
      <c r="D36" s="79"/>
      <c r="E36" s="79"/>
      <c r="F36" s="13">
        <v>0</v>
      </c>
      <c r="I36" s="75" t="s">
        <v>124</v>
      </c>
      <c r="J36" s="9"/>
      <c r="K36" s="9"/>
      <c r="L36" s="9"/>
    </row>
    <row r="37" spans="1:12" ht="12.75">
      <c r="A37" s="76" t="s">
        <v>125</v>
      </c>
      <c r="B37" s="76"/>
      <c r="C37" s="79">
        <v>341</v>
      </c>
      <c r="D37" s="79">
        <v>128</v>
      </c>
      <c r="E37" s="79">
        <v>491</v>
      </c>
      <c r="F37" s="13">
        <v>182</v>
      </c>
      <c r="I37" s="76" t="s">
        <v>125</v>
      </c>
      <c r="J37" s="9">
        <f>+L37+K37</f>
        <v>491590.63</v>
      </c>
      <c r="K37" s="9">
        <f>716297.03-300000-34773.28</f>
        <v>381523.75</v>
      </c>
      <c r="L37" s="9">
        <v>110066.88</v>
      </c>
    </row>
    <row r="38" spans="1:12" ht="12.75">
      <c r="A38" s="76" t="s">
        <v>126</v>
      </c>
      <c r="B38" s="76"/>
      <c r="C38" s="79">
        <f>85-44</f>
        <v>41</v>
      </c>
      <c r="D38" s="79">
        <v>76</v>
      </c>
      <c r="E38" s="79">
        <v>85</v>
      </c>
      <c r="F38" s="13">
        <v>137</v>
      </c>
      <c r="I38" s="76" t="s">
        <v>126</v>
      </c>
      <c r="J38" s="9">
        <f>+L38+K38</f>
        <v>84628.73999999999</v>
      </c>
      <c r="K38" s="9">
        <v>72109.45</v>
      </c>
      <c r="L38" s="9">
        <v>12519.29</v>
      </c>
    </row>
    <row r="39" spans="1:12" ht="12.75">
      <c r="A39" s="76" t="s">
        <v>127</v>
      </c>
      <c r="B39" s="76"/>
      <c r="C39" s="79">
        <v>0</v>
      </c>
      <c r="D39" s="79">
        <v>0</v>
      </c>
      <c r="E39" s="79">
        <v>41</v>
      </c>
      <c r="F39" s="13">
        <v>227</v>
      </c>
      <c r="I39" s="76" t="s">
        <v>127</v>
      </c>
      <c r="J39" s="9">
        <f>+L39+K39</f>
        <v>41287.32</v>
      </c>
      <c r="K39" s="9">
        <v>41287.32</v>
      </c>
      <c r="L39" s="9"/>
    </row>
    <row r="40" spans="1:12" ht="12.75">
      <c r="A40" s="76" t="s">
        <v>124</v>
      </c>
      <c r="B40" s="76"/>
      <c r="C40" s="79"/>
      <c r="D40" s="79"/>
      <c r="E40" s="79"/>
      <c r="F40" s="13" t="s">
        <v>7</v>
      </c>
      <c r="I40" s="76" t="s">
        <v>124</v>
      </c>
      <c r="J40" s="9"/>
      <c r="K40" s="9"/>
      <c r="L40" s="9"/>
    </row>
    <row r="41" spans="1:13" ht="12.75">
      <c r="A41" s="76" t="s">
        <v>128</v>
      </c>
      <c r="B41" s="76"/>
      <c r="C41" s="79">
        <v>0</v>
      </c>
      <c r="D41" s="79">
        <v>0</v>
      </c>
      <c r="E41" s="79" t="s">
        <v>7</v>
      </c>
      <c r="F41" s="13" t="s">
        <v>7</v>
      </c>
      <c r="I41" s="76" t="s">
        <v>128</v>
      </c>
      <c r="J41" s="9">
        <f>+L41+K41</f>
        <v>-11664.859999999999</v>
      </c>
      <c r="K41" s="9">
        <f>-10311.83+0.02</f>
        <v>-10311.81</v>
      </c>
      <c r="L41" s="9">
        <v>-1353.05</v>
      </c>
      <c r="M41" t="s">
        <v>7</v>
      </c>
    </row>
    <row r="42" spans="1:12" ht="12.75">
      <c r="A42" s="76" t="s">
        <v>129</v>
      </c>
      <c r="B42" s="76"/>
      <c r="C42" s="79">
        <v>0</v>
      </c>
      <c r="D42" s="79">
        <v>145</v>
      </c>
      <c r="E42" s="79">
        <v>0</v>
      </c>
      <c r="F42" s="13">
        <v>166</v>
      </c>
      <c r="I42" s="2" t="s">
        <v>130</v>
      </c>
      <c r="J42" s="9">
        <v>11664.86</v>
      </c>
      <c r="K42" s="9">
        <v>10311.81</v>
      </c>
      <c r="L42" s="9">
        <v>1353.05</v>
      </c>
    </row>
    <row r="43" spans="1:12" ht="12.75">
      <c r="A43" s="75" t="s">
        <v>131</v>
      </c>
      <c r="B43" s="75"/>
      <c r="C43" s="81">
        <v>0</v>
      </c>
      <c r="D43" s="81"/>
      <c r="E43" s="81">
        <v>35</v>
      </c>
      <c r="F43" s="13">
        <v>0</v>
      </c>
      <c r="I43" t="s">
        <v>132</v>
      </c>
      <c r="J43" s="9"/>
      <c r="K43" s="9"/>
      <c r="L43" s="9"/>
    </row>
    <row r="44" spans="1:12" ht="12.75">
      <c r="A44" s="75" t="s">
        <v>133</v>
      </c>
      <c r="B44" s="75"/>
      <c r="C44" s="81">
        <v>456</v>
      </c>
      <c r="D44" s="81">
        <v>349</v>
      </c>
      <c r="E44" s="81">
        <v>726</v>
      </c>
      <c r="F44" s="20">
        <v>933</v>
      </c>
      <c r="I44" s="76" t="s">
        <v>129</v>
      </c>
      <c r="J44" s="9"/>
      <c r="K44" s="9"/>
      <c r="L44" s="9"/>
    </row>
    <row r="45" spans="1:12" ht="12.75">
      <c r="A45" s="6"/>
      <c r="B45" s="6"/>
      <c r="C45" s="87" t="s">
        <v>7</v>
      </c>
      <c r="D45" s="2"/>
      <c r="E45" t="s">
        <v>7</v>
      </c>
      <c r="F45" s="2"/>
      <c r="G45" s="2"/>
      <c r="H45" s="2"/>
      <c r="I45" s="75" t="s">
        <v>131</v>
      </c>
      <c r="J45" s="9">
        <f>+L45+K45</f>
        <v>34773.28</v>
      </c>
      <c r="K45" s="9">
        <v>34773.28</v>
      </c>
      <c r="L45" s="9"/>
    </row>
    <row r="46" spans="1:12" ht="12.75">
      <c r="A46" s="19" t="s">
        <v>134</v>
      </c>
      <c r="B46" s="19"/>
      <c r="I46" s="75" t="s">
        <v>133</v>
      </c>
      <c r="J46" s="9">
        <f>SUM(J34:J45)</f>
        <v>726236.14</v>
      </c>
      <c r="K46" s="9">
        <f>894788.16-300000</f>
        <v>594788.16</v>
      </c>
      <c r="L46" s="9">
        <v>119784.32</v>
      </c>
    </row>
    <row r="47" spans="1:12" ht="12.75">
      <c r="A47" s="12" t="s">
        <v>76</v>
      </c>
      <c r="B47" s="12"/>
      <c r="J47" s="9"/>
      <c r="K47" s="9" t="s">
        <v>7</v>
      </c>
      <c r="L47" s="9" t="s">
        <v>7</v>
      </c>
    </row>
    <row r="49" ht="12.75">
      <c r="I49" t="s">
        <v>135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C50" sqref="C50"/>
      <selection activeCell="A1" sqref="A1"/>
    </sheetView>
  </sheetViews>
  <sheetFormatPr defaultColWidth="9.140625" defaultRowHeight="12.75"/>
  <cols>
    <col min="1" max="1" width="7.421875" style="0" customWidth="1"/>
    <col min="2" max="2" width="32.28125" style="0" customWidth="1"/>
    <col min="3" max="3" width="23.57421875" style="0" customWidth="1"/>
    <col min="4" max="4" width="27.140625" style="0" customWidth="1"/>
    <col min="5" max="5" width="27.140625" style="0" hidden="1" customWidth="1"/>
    <col min="6" max="6" width="10.28125" style="0" hidden="1" customWidth="1"/>
    <col min="7" max="7" width="7.7109375" style="0" hidden="1" customWidth="1"/>
    <col min="8" max="9" width="13.57421875" style="9" hidden="1" customWidth="1"/>
    <col min="10" max="10" width="11.28125" style="0" hidden="1" customWidth="1"/>
    <col min="11" max="11" width="12.7109375" style="0" hidden="1" customWidth="1"/>
  </cols>
  <sheetData>
    <row r="1" ht="18">
      <c r="A1" s="3" t="s">
        <v>0</v>
      </c>
    </row>
    <row r="2" ht="12.75">
      <c r="A2" s="12" t="s">
        <v>136</v>
      </c>
    </row>
    <row r="3" spans="1:9" ht="12.75">
      <c r="A3" s="12" t="s">
        <v>137</v>
      </c>
      <c r="C3" s="12" t="s">
        <v>138</v>
      </c>
      <c r="H3" t="s">
        <v>139</v>
      </c>
      <c r="I3"/>
    </row>
    <row r="4" spans="1:10" ht="12.75">
      <c r="A4" s="19" t="s">
        <v>140</v>
      </c>
      <c r="D4" s="43" t="s">
        <v>141</v>
      </c>
      <c r="E4" s="43"/>
      <c r="H4" t="s">
        <v>7</v>
      </c>
      <c r="I4" t="s">
        <v>7</v>
      </c>
      <c r="J4" t="s">
        <v>142</v>
      </c>
    </row>
    <row r="5" spans="1:11" ht="12.75">
      <c r="A5" s="44"/>
      <c r="B5" s="44"/>
      <c r="C5" s="45" t="s">
        <v>143</v>
      </c>
      <c r="D5" s="45" t="s">
        <v>144</v>
      </c>
      <c r="E5" s="45"/>
      <c r="F5" s="1"/>
      <c r="H5" s="24" t="s">
        <v>7</v>
      </c>
      <c r="I5" s="45" t="s">
        <v>143</v>
      </c>
      <c r="J5" s="24" t="s">
        <v>7</v>
      </c>
      <c r="K5" t="s">
        <v>81</v>
      </c>
    </row>
    <row r="6" spans="1:11" ht="12.75">
      <c r="A6" s="44"/>
      <c r="B6" s="44"/>
      <c r="C6" s="45" t="s">
        <v>145</v>
      </c>
      <c r="D6" s="45" t="s">
        <v>146</v>
      </c>
      <c r="E6" s="45"/>
      <c r="F6" s="1"/>
      <c r="H6" s="24" t="s">
        <v>7</v>
      </c>
      <c r="I6" s="45" t="s">
        <v>145</v>
      </c>
      <c r="J6" s="24" t="s">
        <v>7</v>
      </c>
      <c r="K6" t="s">
        <v>84</v>
      </c>
    </row>
    <row r="7" spans="1:11" ht="12.75">
      <c r="A7" s="44"/>
      <c r="B7" s="44"/>
      <c r="C7" s="45" t="s">
        <v>38</v>
      </c>
      <c r="D7" s="45" t="s">
        <v>147</v>
      </c>
      <c r="E7" s="45"/>
      <c r="F7" s="1"/>
      <c r="H7" s="24" t="s">
        <v>148</v>
      </c>
      <c r="I7" s="45" t="s">
        <v>38</v>
      </c>
      <c r="J7" s="23"/>
      <c r="K7" t="s">
        <v>88</v>
      </c>
    </row>
    <row r="8" spans="1:11" ht="12.75">
      <c r="A8" s="44" t="s">
        <v>7</v>
      </c>
      <c r="B8" s="46" t="s">
        <v>149</v>
      </c>
      <c r="C8" s="45" t="s">
        <v>150</v>
      </c>
      <c r="D8" s="45" t="s">
        <v>150</v>
      </c>
      <c r="E8" s="45"/>
      <c r="F8" s="1"/>
      <c r="H8" s="24" t="s">
        <v>151</v>
      </c>
      <c r="I8" s="24" t="s">
        <v>92</v>
      </c>
      <c r="J8" s="24" t="s">
        <v>93</v>
      </c>
      <c r="K8" t="s">
        <v>7</v>
      </c>
    </row>
    <row r="9" spans="1:12" ht="12.75">
      <c r="A9" s="44">
        <v>1</v>
      </c>
      <c r="B9" s="47" t="s">
        <v>152</v>
      </c>
      <c r="C9" s="48">
        <v>24190</v>
      </c>
      <c r="D9" s="49">
        <v>24950</v>
      </c>
      <c r="E9" s="47" t="s">
        <v>152</v>
      </c>
      <c r="F9" s="5"/>
      <c r="G9" s="9">
        <v>24190</v>
      </c>
      <c r="H9" s="15">
        <f>+I9+J9</f>
        <v>24190132</v>
      </c>
      <c r="I9" s="9">
        <v>15316218.25</v>
      </c>
      <c r="J9" s="9">
        <v>8873913.75</v>
      </c>
      <c r="K9" s="9"/>
      <c r="L9" s="9"/>
    </row>
    <row r="10" spans="1:12" ht="12.75">
      <c r="A10" s="44" t="s">
        <v>7</v>
      </c>
      <c r="B10" s="47" t="s">
        <v>7</v>
      </c>
      <c r="C10" s="48"/>
      <c r="D10" s="49"/>
      <c r="E10" s="47" t="s">
        <v>7</v>
      </c>
      <c r="F10" s="5"/>
      <c r="G10" s="9" t="s">
        <v>153</v>
      </c>
      <c r="H10" s="15">
        <f>+I10+K10</f>
        <v>0</v>
      </c>
      <c r="I10" s="9">
        <v>5000002</v>
      </c>
      <c r="J10" s="9"/>
      <c r="K10" s="9">
        <v>-5000002</v>
      </c>
      <c r="L10" s="9"/>
    </row>
    <row r="11" spans="1:12" ht="12.75">
      <c r="A11" s="44" t="s">
        <v>7</v>
      </c>
      <c r="B11" s="46" t="s">
        <v>154</v>
      </c>
      <c r="C11" s="48"/>
      <c r="D11" s="49"/>
      <c r="E11" s="46" t="s">
        <v>154</v>
      </c>
      <c r="F11" s="5"/>
      <c r="G11" s="9"/>
      <c r="H11" s="15" t="s">
        <v>7</v>
      </c>
      <c r="J11" s="9"/>
      <c r="K11" s="9"/>
      <c r="L11" s="9"/>
    </row>
    <row r="12" spans="1:12" ht="12.75">
      <c r="A12" s="44">
        <v>2</v>
      </c>
      <c r="B12" s="47" t="s">
        <v>155</v>
      </c>
      <c r="C12" s="50">
        <v>10878</v>
      </c>
      <c r="D12" s="7">
        <v>11834</v>
      </c>
      <c r="E12" s="47" t="s">
        <v>155</v>
      </c>
      <c r="F12" s="5">
        <f>+H12-11834704</f>
        <v>-956189.5</v>
      </c>
      <c r="G12" s="9">
        <v>10879</v>
      </c>
      <c r="H12" s="15">
        <f>+I12+J12</f>
        <v>10878514.5</v>
      </c>
      <c r="I12" s="15">
        <v>3964132.8</v>
      </c>
      <c r="J12" s="15">
        <f>4272948.6+1143711.98+11877.94+1485843.18</f>
        <v>6914381.7</v>
      </c>
      <c r="K12" s="9" t="s">
        <v>7</v>
      </c>
      <c r="L12" s="9"/>
    </row>
    <row r="13" spans="1:12" ht="12.75">
      <c r="A13" s="44">
        <v>3</v>
      </c>
      <c r="B13" s="47" t="s">
        <v>156</v>
      </c>
      <c r="C13" s="51">
        <v>13390</v>
      </c>
      <c r="D13" s="8">
        <v>9860</v>
      </c>
      <c r="E13" s="47" t="s">
        <v>156</v>
      </c>
      <c r="F13" s="5">
        <f>+H13-9859830</f>
        <v>3529912.7699999996</v>
      </c>
      <c r="G13" s="9">
        <v>13390</v>
      </c>
      <c r="H13" s="15">
        <f>+I13+J13+K13</f>
        <v>13389742.77</v>
      </c>
      <c r="I13" s="15">
        <v>3628407.72</v>
      </c>
      <c r="J13" s="15">
        <v>12543414.12</v>
      </c>
      <c r="K13" s="9">
        <v>-2782079.07</v>
      </c>
      <c r="L13" s="9"/>
    </row>
    <row r="14" spans="1:12" ht="12.75">
      <c r="A14" s="44">
        <v>4</v>
      </c>
      <c r="B14" s="47" t="s">
        <v>157</v>
      </c>
      <c r="C14" s="52">
        <v>600</v>
      </c>
      <c r="D14" s="8">
        <v>627</v>
      </c>
      <c r="E14" s="47" t="s">
        <v>157</v>
      </c>
      <c r="F14" s="5">
        <f>+H14+H15-627142</f>
        <v>-26975.19000000134</v>
      </c>
      <c r="G14" s="9">
        <v>530</v>
      </c>
      <c r="H14" s="15">
        <f>+I14+J14+K14</f>
        <v>529835.8099999987</v>
      </c>
      <c r="I14" s="15">
        <f>17579468.29+39965+30240+163655</f>
        <v>17813328.29</v>
      </c>
      <c r="J14" s="15">
        <f>40040+142422.63+108000</f>
        <v>290462.63</v>
      </c>
      <c r="K14" s="9">
        <v>-17573955.11</v>
      </c>
      <c r="L14" s="9"/>
    </row>
    <row r="15" spans="1:12" ht="12.75">
      <c r="A15" s="44" t="s">
        <v>7</v>
      </c>
      <c r="B15" t="s">
        <v>7</v>
      </c>
      <c r="C15" s="52" t="s">
        <v>7</v>
      </c>
      <c r="D15" s="11" t="s">
        <v>7</v>
      </c>
      <c r="E15" t="s">
        <v>7</v>
      </c>
      <c r="F15" s="5">
        <f>+F13+F14</f>
        <v>3502937.579999998</v>
      </c>
      <c r="G15" s="9">
        <v>70</v>
      </c>
      <c r="H15" s="15">
        <f>+I15+J15</f>
        <v>70331</v>
      </c>
      <c r="I15" s="15">
        <v>68831</v>
      </c>
      <c r="J15" s="15">
        <v>1500</v>
      </c>
      <c r="K15" s="9" t="s">
        <v>7</v>
      </c>
      <c r="L15" s="9"/>
    </row>
    <row r="16" spans="1:12" ht="12.75">
      <c r="A16" s="44">
        <v>5</v>
      </c>
      <c r="B16" s="47" t="s">
        <v>158</v>
      </c>
      <c r="C16" s="52"/>
      <c r="D16" s="11"/>
      <c r="E16" s="47" t="s">
        <v>158</v>
      </c>
      <c r="F16" s="5"/>
      <c r="G16" s="9"/>
      <c r="H16" s="15"/>
      <c r="I16" s="15">
        <v>-59995.69</v>
      </c>
      <c r="J16" s="15"/>
      <c r="K16" s="9">
        <f>-I16</f>
        <v>59995.69</v>
      </c>
      <c r="L16" s="9"/>
    </row>
    <row r="17" spans="1:12" ht="12.75">
      <c r="A17" s="44" t="s">
        <v>7</v>
      </c>
      <c r="B17" s="47" t="s">
        <v>159</v>
      </c>
      <c r="C17" s="52">
        <v>7372</v>
      </c>
      <c r="D17" s="11">
        <v>10027</v>
      </c>
      <c r="E17" s="47" t="s">
        <v>159</v>
      </c>
      <c r="F17" s="5">
        <f>+H17+H18</f>
        <v>7810067.5200000005</v>
      </c>
      <c r="G17" s="9">
        <v>7372</v>
      </c>
      <c r="H17" s="15">
        <f>+I17+J17</f>
        <v>7371956.41</v>
      </c>
      <c r="I17" s="15">
        <v>5813956.41</v>
      </c>
      <c r="J17" s="15">
        <v>1558000</v>
      </c>
      <c r="K17" s="9" t="s">
        <v>7</v>
      </c>
      <c r="L17" s="9"/>
    </row>
    <row r="18" spans="1:12" ht="12.75">
      <c r="A18" s="44">
        <v>6</v>
      </c>
      <c r="B18" s="47" t="s">
        <v>160</v>
      </c>
      <c r="C18" s="53">
        <v>438</v>
      </c>
      <c r="D18" s="54">
        <v>1013</v>
      </c>
      <c r="E18" s="47" t="s">
        <v>160</v>
      </c>
      <c r="F18" s="5"/>
      <c r="G18" s="9">
        <v>438</v>
      </c>
      <c r="H18" s="15">
        <f>+I18+J18</f>
        <v>438111.11</v>
      </c>
      <c r="I18" s="15">
        <v>11123.44</v>
      </c>
      <c r="J18" s="15">
        <f>592.77+5047.89+10190.83+209946.82+197585.5+3623.86</f>
        <v>426987.67</v>
      </c>
      <c r="K18" s="9" t="s">
        <v>7</v>
      </c>
      <c r="L18" s="9"/>
    </row>
    <row r="19" spans="1:12" ht="12.75">
      <c r="A19" s="44"/>
      <c r="B19" s="47" t="s">
        <v>7</v>
      </c>
      <c r="C19" s="55">
        <f aca="true" t="shared" si="0" ref="C19:J19">SUM(C12:C18)</f>
        <v>32678</v>
      </c>
      <c r="D19" s="55">
        <f t="shared" si="0"/>
        <v>33361</v>
      </c>
      <c r="E19" s="47" t="s">
        <v>7</v>
      </c>
      <c r="F19" s="5"/>
      <c r="G19" s="55">
        <f t="shared" si="0"/>
        <v>32679</v>
      </c>
      <c r="H19" s="55">
        <f t="shared" si="0"/>
        <v>32678491.599999998</v>
      </c>
      <c r="I19" s="55">
        <f t="shared" si="0"/>
        <v>31239783.97</v>
      </c>
      <c r="J19" s="55">
        <f t="shared" si="0"/>
        <v>21734746.12</v>
      </c>
      <c r="K19" s="9" t="s">
        <v>7</v>
      </c>
      <c r="L19" s="9"/>
    </row>
    <row r="20" spans="1:12" ht="12.75">
      <c r="A20" s="44" t="s">
        <v>7</v>
      </c>
      <c r="B20" s="46" t="s">
        <v>161</v>
      </c>
      <c r="C20" s="48"/>
      <c r="D20" s="49"/>
      <c r="E20" s="46" t="s">
        <v>161</v>
      </c>
      <c r="F20" s="5"/>
      <c r="G20" s="9"/>
      <c r="H20" s="15" t="s">
        <v>7</v>
      </c>
      <c r="I20" s="15" t="s">
        <v>7</v>
      </c>
      <c r="J20" s="15" t="s">
        <v>7</v>
      </c>
      <c r="K20" s="9" t="s">
        <v>7</v>
      </c>
      <c r="L20" s="9"/>
    </row>
    <row r="21" spans="1:12" ht="12.75">
      <c r="A21" s="44">
        <v>7</v>
      </c>
      <c r="B21" s="47" t="s">
        <v>162</v>
      </c>
      <c r="C21" s="56">
        <v>3064</v>
      </c>
      <c r="D21" s="7">
        <v>2998</v>
      </c>
      <c r="E21" s="47" t="s">
        <v>162</v>
      </c>
      <c r="F21" s="5">
        <f>+H21-2998162</f>
        <v>66018.73999999836</v>
      </c>
      <c r="G21" s="9">
        <v>3064</v>
      </c>
      <c r="H21" s="15">
        <f>+I21+J21+K21</f>
        <v>3064180.7399999984</v>
      </c>
      <c r="I21" s="15">
        <v>619966.63</v>
      </c>
      <c r="J21" s="15">
        <v>20018169.22</v>
      </c>
      <c r="K21" s="9">
        <v>-17573955.11</v>
      </c>
      <c r="L21" s="9"/>
    </row>
    <row r="22" spans="1:12" ht="12.75">
      <c r="A22" s="44">
        <v>8</v>
      </c>
      <c r="B22" s="47" t="s">
        <v>163</v>
      </c>
      <c r="C22" s="57">
        <v>2026</v>
      </c>
      <c r="D22" s="11">
        <v>2883</v>
      </c>
      <c r="E22" s="47" t="s">
        <v>163</v>
      </c>
      <c r="F22" s="5">
        <f>+H22+H23-2883465</f>
        <v>-197356.56999999983</v>
      </c>
      <c r="G22" s="9">
        <v>2026</v>
      </c>
      <c r="H22" s="15">
        <f>+I22+J22+K22</f>
        <v>2026278.5900000003</v>
      </c>
      <c r="I22" s="15">
        <v>3297234</v>
      </c>
      <c r="J22" s="15">
        <v>1511123.66</v>
      </c>
      <c r="K22" s="9">
        <v>-2782079.07</v>
      </c>
      <c r="L22" s="9"/>
    </row>
    <row r="23" spans="1:12" ht="12.75">
      <c r="A23" s="44"/>
      <c r="B23" s="58" t="s">
        <v>164</v>
      </c>
      <c r="C23" s="52">
        <v>660</v>
      </c>
      <c r="D23" s="11" t="s">
        <v>7</v>
      </c>
      <c r="E23" s="58" t="s">
        <v>164</v>
      </c>
      <c r="F23" s="5">
        <f>+F21+F22</f>
        <v>-131337.83000000147</v>
      </c>
      <c r="G23" s="9">
        <v>660</v>
      </c>
      <c r="H23" s="15">
        <f>+I23+J23</f>
        <v>659829.84</v>
      </c>
      <c r="I23" s="15">
        <f>344109.75-371.23-590.05</f>
        <v>343148.47000000003</v>
      </c>
      <c r="J23" s="15">
        <f>316619.42+41.97+19.98</f>
        <v>316681.36999999994</v>
      </c>
      <c r="K23" s="9" t="s">
        <v>7</v>
      </c>
      <c r="L23" s="9"/>
    </row>
    <row r="24" spans="1:12" ht="12.75">
      <c r="A24" s="44"/>
      <c r="B24" s="47" t="s">
        <v>7</v>
      </c>
      <c r="C24" s="52" t="s">
        <v>7</v>
      </c>
      <c r="D24" s="11" t="s">
        <v>7</v>
      </c>
      <c r="E24" s="47" t="s">
        <v>7</v>
      </c>
      <c r="F24" s="5"/>
      <c r="G24" s="9">
        <v>0</v>
      </c>
      <c r="H24" s="15">
        <f>+I24+J24+K24</f>
        <v>0</v>
      </c>
      <c r="I24" s="15">
        <v>0</v>
      </c>
      <c r="J24" s="15">
        <v>-59995.69</v>
      </c>
      <c r="K24" s="9">
        <f>+K16</f>
        <v>59995.69</v>
      </c>
      <c r="L24" s="9"/>
    </row>
    <row r="25" spans="1:12" ht="12.75">
      <c r="A25" s="44">
        <v>9</v>
      </c>
      <c r="B25" s="47" t="s">
        <v>165</v>
      </c>
      <c r="C25" s="52">
        <v>24</v>
      </c>
      <c r="D25" s="8">
        <v>25</v>
      </c>
      <c r="E25" s="47" t="s">
        <v>165</v>
      </c>
      <c r="F25" s="5"/>
      <c r="G25" s="9">
        <v>24</v>
      </c>
      <c r="H25" s="15">
        <v>24000</v>
      </c>
      <c r="I25" s="15">
        <v>89000</v>
      </c>
      <c r="J25" s="15">
        <v>440000</v>
      </c>
      <c r="K25" s="9">
        <v>-529000</v>
      </c>
      <c r="L25" s="15" t="s">
        <v>7</v>
      </c>
    </row>
    <row r="26" spans="1:12" ht="12.75">
      <c r="A26" s="44">
        <v>10</v>
      </c>
      <c r="B26" s="47" t="s">
        <v>166</v>
      </c>
      <c r="C26" s="26">
        <v>760</v>
      </c>
      <c r="D26" s="68">
        <v>760</v>
      </c>
      <c r="E26" s="47" t="s">
        <v>166</v>
      </c>
      <c r="F26" s="5">
        <f>+H26-759943</f>
        <v>57</v>
      </c>
      <c r="G26" s="9">
        <v>760</v>
      </c>
      <c r="H26" s="15">
        <f>+I26+J26+K26</f>
        <v>760000</v>
      </c>
      <c r="I26" s="15">
        <v>0</v>
      </c>
      <c r="J26" s="15">
        <v>0</v>
      </c>
      <c r="K26" s="9">
        <v>760000</v>
      </c>
      <c r="L26" s="9"/>
    </row>
    <row r="27" spans="1:12" ht="12.75">
      <c r="A27" s="44"/>
      <c r="B27" s="47"/>
      <c r="C27" s="49">
        <f aca="true" t="shared" si="1" ref="C27:J27">SUM(C21:C26)</f>
        <v>6534</v>
      </c>
      <c r="D27" s="49">
        <f t="shared" si="1"/>
        <v>6666</v>
      </c>
      <c r="E27" s="47"/>
      <c r="F27" s="5"/>
      <c r="G27" s="49">
        <f t="shared" si="1"/>
        <v>6534</v>
      </c>
      <c r="H27" s="49">
        <f t="shared" si="1"/>
        <v>6534289.169999998</v>
      </c>
      <c r="I27" s="49">
        <f t="shared" si="1"/>
        <v>4349349.1</v>
      </c>
      <c r="J27" s="49">
        <f t="shared" si="1"/>
        <v>22225978.56</v>
      </c>
      <c r="K27" s="9" t="s">
        <v>7</v>
      </c>
      <c r="L27" s="9"/>
    </row>
    <row r="28" spans="1:12" ht="12.75">
      <c r="A28" s="44"/>
      <c r="B28" s="46" t="s">
        <v>167</v>
      </c>
      <c r="C28" s="48">
        <f aca="true" t="shared" si="2" ref="C28:H28">+C19-C27</f>
        <v>26144</v>
      </c>
      <c r="D28" s="48">
        <f t="shared" si="2"/>
        <v>26695</v>
      </c>
      <c r="E28" s="46" t="s">
        <v>167</v>
      </c>
      <c r="F28" s="5"/>
      <c r="G28" s="48">
        <f t="shared" si="2"/>
        <v>26145</v>
      </c>
      <c r="H28" s="48">
        <f t="shared" si="2"/>
        <v>26144202.43</v>
      </c>
      <c r="I28" s="15" t="s">
        <v>7</v>
      </c>
      <c r="J28" s="15" t="s">
        <v>7</v>
      </c>
      <c r="K28" s="9" t="s">
        <v>7</v>
      </c>
      <c r="L28" s="9"/>
    </row>
    <row r="29" spans="1:12" ht="13.5" thickBot="1">
      <c r="A29" s="44" t="s">
        <v>7</v>
      </c>
      <c r="C29" s="59">
        <f aca="true" t="shared" si="3" ref="C29:H29">+C28+C9</f>
        <v>50334</v>
      </c>
      <c r="D29" s="59">
        <f t="shared" si="3"/>
        <v>51645</v>
      </c>
      <c r="F29" s="5"/>
      <c r="G29" s="59">
        <f t="shared" si="3"/>
        <v>50335</v>
      </c>
      <c r="H29" s="59">
        <f t="shared" si="3"/>
        <v>50334334.43</v>
      </c>
      <c r="I29" s="15" t="s">
        <v>7</v>
      </c>
      <c r="J29" s="15" t="s">
        <v>7</v>
      </c>
      <c r="K29" s="9" t="s">
        <v>7</v>
      </c>
      <c r="L29" s="9"/>
    </row>
    <row r="30" spans="1:12" ht="13.5" thickTop="1">
      <c r="A30" s="44" t="s">
        <v>7</v>
      </c>
      <c r="B30" s="46" t="s">
        <v>168</v>
      </c>
      <c r="C30" s="48"/>
      <c r="D30" s="49"/>
      <c r="E30" s="46" t="s">
        <v>168</v>
      </c>
      <c r="F30" s="5" t="s">
        <v>7</v>
      </c>
      <c r="G30" s="9"/>
      <c r="H30" s="15" t="s">
        <v>7</v>
      </c>
      <c r="I30" s="15" t="s">
        <v>7</v>
      </c>
      <c r="J30" s="15" t="s">
        <v>7</v>
      </c>
      <c r="K30" s="9" t="s">
        <v>7</v>
      </c>
      <c r="L30" s="9"/>
    </row>
    <row r="31" spans="1:12" ht="12.75">
      <c r="A31" s="44">
        <v>11</v>
      </c>
      <c r="B31" s="47" t="s">
        <v>169</v>
      </c>
      <c r="C31" s="48">
        <v>20250</v>
      </c>
      <c r="D31" s="49">
        <v>20250</v>
      </c>
      <c r="E31" s="47" t="s">
        <v>169</v>
      </c>
      <c r="F31" s="5" t="s">
        <v>7</v>
      </c>
      <c r="G31" s="9">
        <v>20250</v>
      </c>
      <c r="H31" s="15">
        <f>+I31+J31+K31</f>
        <v>20250000</v>
      </c>
      <c r="I31" s="15">
        <v>20250000</v>
      </c>
      <c r="J31" s="15">
        <v>5000002</v>
      </c>
      <c r="K31" s="9">
        <v>-5000002</v>
      </c>
      <c r="L31" s="9"/>
    </row>
    <row r="32" spans="1:12" ht="12.75">
      <c r="A32" s="44">
        <v>12</v>
      </c>
      <c r="B32" s="47" t="s">
        <v>170</v>
      </c>
      <c r="C32" s="48">
        <v>5937</v>
      </c>
      <c r="D32" s="49">
        <v>5937</v>
      </c>
      <c r="E32" s="47" t="s">
        <v>170</v>
      </c>
      <c r="F32" s="5"/>
      <c r="G32" s="48">
        <v>5937</v>
      </c>
      <c r="H32" s="15">
        <f>+I32+J32</f>
        <v>5936954.2</v>
      </c>
      <c r="I32" s="15">
        <v>5936954.2</v>
      </c>
      <c r="J32" s="15">
        <v>0</v>
      </c>
      <c r="K32" s="9" t="s">
        <v>7</v>
      </c>
      <c r="L32" s="9"/>
    </row>
    <row r="33" spans="1:12" ht="12.75">
      <c r="A33" s="44">
        <v>13</v>
      </c>
      <c r="B33" s="60" t="s">
        <v>171</v>
      </c>
      <c r="C33" s="48">
        <v>2629</v>
      </c>
      <c r="D33" s="49">
        <v>2629</v>
      </c>
      <c r="E33" s="60" t="s">
        <v>171</v>
      </c>
      <c r="F33" s="5"/>
      <c r="G33" s="48">
        <v>2629</v>
      </c>
      <c r="H33" s="15">
        <f>+I33+J33</f>
        <v>2628729.7</v>
      </c>
      <c r="I33" s="9">
        <v>2628729.7</v>
      </c>
      <c r="J33" s="15">
        <v>0</v>
      </c>
      <c r="K33" s="9" t="s">
        <v>142</v>
      </c>
      <c r="L33" s="9"/>
    </row>
    <row r="34" spans="1:12" ht="12.75">
      <c r="A34" s="44">
        <v>14</v>
      </c>
      <c r="B34" s="47" t="s">
        <v>172</v>
      </c>
      <c r="C34" s="61">
        <f>19402-12-13</f>
        <v>19377</v>
      </c>
      <c r="D34" s="63">
        <f>20628-343</f>
        <v>20285</v>
      </c>
      <c r="E34" s="47" t="s">
        <v>172</v>
      </c>
      <c r="F34" s="5"/>
      <c r="G34" s="61">
        <f>19402-24</f>
        <v>19378</v>
      </c>
      <c r="H34" s="15">
        <f>+I34+J34+K34</f>
        <v>19377639.2</v>
      </c>
      <c r="I34" s="15">
        <f>19259560.47-868559.27</f>
        <v>18391001.2</v>
      </c>
      <c r="J34" s="15">
        <f>1025684.42-15046.42</f>
        <v>1010638</v>
      </c>
      <c r="K34" s="9">
        <v>-24000</v>
      </c>
      <c r="L34" s="9"/>
    </row>
    <row r="35" spans="1:12" ht="12.75">
      <c r="A35" s="44"/>
      <c r="B35" s="46" t="s">
        <v>7</v>
      </c>
      <c r="C35" s="62">
        <f>SUM(C31:C34)</f>
        <v>48193</v>
      </c>
      <c r="D35" s="62">
        <f>SUM(D31:D34)</f>
        <v>49101</v>
      </c>
      <c r="E35" s="46" t="s">
        <v>7</v>
      </c>
      <c r="F35" s="25" t="s">
        <v>7</v>
      </c>
      <c r="G35" s="62">
        <f>SUM(G31:G34)</f>
        <v>48194</v>
      </c>
      <c r="H35" s="62">
        <f>SUM(H31:H34)</f>
        <v>48193323.099999994</v>
      </c>
      <c r="I35" s="15" t="s">
        <v>7</v>
      </c>
      <c r="J35" s="15" t="s">
        <v>7</v>
      </c>
      <c r="K35" s="9">
        <f>21432061.92-2564983.75</f>
        <v>18867078.17</v>
      </c>
      <c r="L35" s="9"/>
    </row>
    <row r="36" spans="1:12" ht="12.75">
      <c r="A36" s="44" t="s">
        <v>7</v>
      </c>
      <c r="B36" s="46" t="s">
        <v>173</v>
      </c>
      <c r="C36" s="61" t="s">
        <v>7</v>
      </c>
      <c r="D36" s="63" t="s">
        <v>7</v>
      </c>
      <c r="E36" s="46" t="s">
        <v>173</v>
      </c>
      <c r="F36" s="5"/>
      <c r="G36" s="61" t="s">
        <v>7</v>
      </c>
      <c r="H36" s="15" t="s">
        <v>7</v>
      </c>
      <c r="I36" s="15" t="s">
        <v>7</v>
      </c>
      <c r="J36" s="15" t="s">
        <v>7</v>
      </c>
      <c r="K36" s="9" t="s">
        <v>7</v>
      </c>
      <c r="L36" s="9"/>
    </row>
    <row r="37" spans="1:12" ht="12.75">
      <c r="A37" s="44">
        <v>15</v>
      </c>
      <c r="B37" s="47" t="s">
        <v>174</v>
      </c>
      <c r="C37" s="61">
        <v>1612</v>
      </c>
      <c r="D37" s="63">
        <v>2015</v>
      </c>
      <c r="E37" s="47" t="s">
        <v>174</v>
      </c>
      <c r="F37" s="5" t="s">
        <v>7</v>
      </c>
      <c r="G37" s="61">
        <v>1612</v>
      </c>
      <c r="H37" s="15">
        <f>+I37+J37+K37</f>
        <v>1612040.8900000001</v>
      </c>
      <c r="I37" s="15">
        <v>0</v>
      </c>
      <c r="J37" s="15">
        <v>2372040.89</v>
      </c>
      <c r="K37" s="9">
        <v>-760000</v>
      </c>
      <c r="L37" s="9"/>
    </row>
    <row r="38" spans="1:12" ht="12.75">
      <c r="A38" s="44">
        <v>16</v>
      </c>
      <c r="B38" s="64" t="s">
        <v>175</v>
      </c>
      <c r="C38" s="48">
        <v>529</v>
      </c>
      <c r="D38" s="49">
        <v>529</v>
      </c>
      <c r="E38" s="64" t="s">
        <v>175</v>
      </c>
      <c r="F38" s="5"/>
      <c r="G38" s="48">
        <v>529</v>
      </c>
      <c r="H38" s="15">
        <f>+I38+J38+K38</f>
        <v>529000</v>
      </c>
      <c r="I38" s="15">
        <v>0</v>
      </c>
      <c r="J38" s="15">
        <v>0</v>
      </c>
      <c r="K38" s="9">
        <v>529000</v>
      </c>
      <c r="L38" s="9"/>
    </row>
    <row r="39" spans="1:12" ht="13.5" thickBot="1">
      <c r="A39" s="44"/>
      <c r="B39" s="64"/>
      <c r="C39" s="65">
        <f aca="true" t="shared" si="4" ref="C39:H39">C38+C37+C35</f>
        <v>50334</v>
      </c>
      <c r="D39" s="65">
        <f t="shared" si="4"/>
        <v>51645</v>
      </c>
      <c r="E39" s="48"/>
      <c r="F39" s="5"/>
      <c r="G39" s="65">
        <f t="shared" si="4"/>
        <v>50335</v>
      </c>
      <c r="H39" s="65">
        <f t="shared" si="4"/>
        <v>50334363.989999995</v>
      </c>
      <c r="I39" s="15" t="s">
        <v>7</v>
      </c>
      <c r="J39" s="15" t="s">
        <v>7</v>
      </c>
      <c r="K39" s="9" t="s">
        <v>142</v>
      </c>
      <c r="L39" s="9"/>
    </row>
    <row r="40" spans="1:12" ht="13.5" thickTop="1">
      <c r="A40" s="44"/>
      <c r="B40" s="64"/>
      <c r="C40" s="48"/>
      <c r="D40" s="49"/>
      <c r="E40" s="49"/>
      <c r="F40" s="5"/>
      <c r="G40" s="9"/>
      <c r="H40" s="15" t="s">
        <v>7</v>
      </c>
      <c r="I40" s="15" t="s">
        <v>7</v>
      </c>
      <c r="J40" s="15" t="s">
        <v>7</v>
      </c>
      <c r="K40" s="9" t="s">
        <v>7</v>
      </c>
      <c r="L40" s="9"/>
    </row>
    <row r="41" spans="1:12" ht="13.5" thickBot="1">
      <c r="A41" s="44">
        <v>17</v>
      </c>
      <c r="B41" s="64" t="s">
        <v>176</v>
      </c>
      <c r="C41" s="69">
        <f>+C35/20250</f>
        <v>2.3799012345679014</v>
      </c>
      <c r="D41" s="69">
        <f>+D35/20250</f>
        <v>2.4247407407407406</v>
      </c>
      <c r="E41" s="100"/>
      <c r="F41" s="5" t="s">
        <v>7</v>
      </c>
      <c r="G41" s="9">
        <f>+G39-G29</f>
        <v>0</v>
      </c>
      <c r="H41" s="15" t="s">
        <v>7</v>
      </c>
      <c r="I41" s="15" t="s">
        <v>7</v>
      </c>
      <c r="J41" s="15" t="s">
        <v>7</v>
      </c>
      <c r="K41" s="9" t="s">
        <v>7</v>
      </c>
      <c r="L41" s="9"/>
    </row>
    <row r="42" spans="1:12" ht="13.5" thickTop="1">
      <c r="A42" s="44"/>
      <c r="B42" s="47" t="s">
        <v>177</v>
      </c>
      <c r="C42" s="61" t="s">
        <v>7</v>
      </c>
      <c r="D42" s="66" t="s">
        <v>7</v>
      </c>
      <c r="E42" s="66"/>
      <c r="F42" s="5"/>
      <c r="G42" s="9"/>
      <c r="H42" s="15" t="s">
        <v>7</v>
      </c>
      <c r="I42" s="15" t="s">
        <v>7</v>
      </c>
      <c r="J42" s="15" t="s">
        <v>7</v>
      </c>
      <c r="K42" s="9" t="s">
        <v>7</v>
      </c>
      <c r="L42" s="9"/>
    </row>
    <row r="43" spans="1:12" ht="12.75">
      <c r="A43" s="67" t="s">
        <v>178</v>
      </c>
      <c r="C43" s="5"/>
      <c r="D43" s="5"/>
      <c r="E43" s="5"/>
      <c r="F43" s="9"/>
      <c r="G43" s="9"/>
      <c r="J43" s="9"/>
      <c r="K43" s="9"/>
      <c r="L43" s="9"/>
    </row>
    <row r="44" spans="1:12" ht="12.75">
      <c r="A44" s="67" t="s">
        <v>179</v>
      </c>
      <c r="B44" s="44"/>
      <c r="C44" s="5"/>
      <c r="D44" s="5"/>
      <c r="E44" s="5"/>
      <c r="F44" s="9"/>
      <c r="G44" s="9"/>
      <c r="J44" s="9"/>
      <c r="K44" s="9"/>
      <c r="L44" s="9"/>
    </row>
    <row r="45" spans="1:12" ht="12.75">
      <c r="A45" s="44"/>
      <c r="B45" s="44"/>
      <c r="F45" s="9"/>
      <c r="G45" s="9"/>
      <c r="J45" s="9"/>
      <c r="K45" s="9"/>
      <c r="L45" s="9"/>
    </row>
    <row r="46" spans="6:12" ht="12.75">
      <c r="F46" s="9"/>
      <c r="G46" s="9"/>
      <c r="J46" s="9"/>
      <c r="K46" s="9"/>
      <c r="L46" s="9"/>
    </row>
    <row r="47" spans="6:12" ht="12.75">
      <c r="F47" s="9"/>
      <c r="G47" s="9"/>
      <c r="J47" s="9"/>
      <c r="K47" s="9"/>
      <c r="L47" s="9"/>
    </row>
    <row r="48" spans="6:12" ht="12.75">
      <c r="F48" s="9"/>
      <c r="G48" s="9"/>
      <c r="J48" s="9"/>
      <c r="K48" s="9"/>
      <c r="L48" s="9"/>
    </row>
    <row r="49" spans="6:12" ht="12.75">
      <c r="F49" s="9"/>
      <c r="G49" s="9"/>
      <c r="J49" s="9"/>
      <c r="K49" s="9"/>
      <c r="L49" s="9"/>
    </row>
    <row r="50" spans="6:12" ht="12.75">
      <c r="F50" s="9"/>
      <c r="G50" s="9"/>
      <c r="J50" s="9"/>
      <c r="K50" s="9"/>
      <c r="L50" s="9"/>
    </row>
    <row r="51" spans="6:12" ht="12.75">
      <c r="F51" s="9"/>
      <c r="G51" s="9"/>
      <c r="J51" s="9"/>
      <c r="K51" s="9"/>
      <c r="L51" s="9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</sheetData>
  <printOptions/>
  <pageMargins left="0.5" right="0.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00"/>
  <sheetViews>
    <sheetView workbookViewId="0" topLeftCell="A1">
      <selection activeCell="A81" sqref="A81"/>
      <selection activeCell="A1" sqref="A1"/>
    </sheetView>
  </sheetViews>
  <sheetFormatPr defaultColWidth="9.140625" defaultRowHeight="12.75"/>
  <cols>
    <col min="1" max="2" width="9.140625" style="28" customWidth="1"/>
    <col min="3" max="3" width="11.7109375" style="28" customWidth="1"/>
    <col min="4" max="4" width="12.00390625" style="28" customWidth="1"/>
    <col min="5" max="5" width="3.00390625" style="28" hidden="1" customWidth="1"/>
    <col min="6" max="6" width="9.140625" style="28" customWidth="1"/>
    <col min="7" max="7" width="11.140625" style="28" customWidth="1"/>
    <col min="8" max="8" width="9.140625" style="28" customWidth="1"/>
    <col min="9" max="9" width="13.8515625" style="28" customWidth="1"/>
    <col min="10" max="16384" width="9.140625" style="28" customWidth="1"/>
  </cols>
  <sheetData>
    <row r="1" spans="1:3" ht="18">
      <c r="A1"/>
      <c r="B1" s="3" t="s">
        <v>180</v>
      </c>
      <c r="C1"/>
    </row>
    <row r="2" spans="1:3" ht="12.75">
      <c r="A2"/>
      <c r="C2" s="12" t="s">
        <v>181</v>
      </c>
    </row>
    <row r="3" spans="1:3" ht="12.75">
      <c r="A3"/>
      <c r="C3" s="12" t="s">
        <v>182</v>
      </c>
    </row>
    <row r="4" spans="1:3" ht="12.75">
      <c r="A4"/>
      <c r="B4" s="12" t="s">
        <v>183</v>
      </c>
      <c r="C4" s="12"/>
    </row>
    <row r="5" spans="1:3" ht="12.75">
      <c r="A5"/>
      <c r="C5" s="12"/>
    </row>
    <row r="6" ht="12.75">
      <c r="A6" s="18" t="s">
        <v>184</v>
      </c>
    </row>
    <row r="8" ht="12.75">
      <c r="A8" s="28" t="s">
        <v>185</v>
      </c>
    </row>
    <row r="10" ht="12.75">
      <c r="A10" s="29" t="s">
        <v>186</v>
      </c>
    </row>
    <row r="11" ht="12.75">
      <c r="A11" s="28" t="s">
        <v>187</v>
      </c>
    </row>
    <row r="12" ht="12.75">
      <c r="A12" s="29" t="s">
        <v>188</v>
      </c>
    </row>
    <row r="13" ht="12.75">
      <c r="A13" s="29" t="s">
        <v>189</v>
      </c>
    </row>
    <row r="14" ht="12.75">
      <c r="A14" s="28" t="s">
        <v>190</v>
      </c>
    </row>
    <row r="15" ht="12.75">
      <c r="A15" s="28" t="s">
        <v>191</v>
      </c>
    </row>
    <row r="16" ht="12.75">
      <c r="A16" s="28" t="s">
        <v>7</v>
      </c>
    </row>
    <row r="17" ht="12.75">
      <c r="A17" s="28" t="s">
        <v>192</v>
      </c>
    </row>
    <row r="19" ht="12.75">
      <c r="A19" s="29" t="s">
        <v>193</v>
      </c>
    </row>
    <row r="21" ht="12.75">
      <c r="A21" s="28" t="s">
        <v>194</v>
      </c>
    </row>
    <row r="22" ht="12.75">
      <c r="A22" s="28" t="s">
        <v>177</v>
      </c>
    </row>
    <row r="23" ht="12.75">
      <c r="A23" s="28" t="s">
        <v>195</v>
      </c>
    </row>
    <row r="25" ht="12.75">
      <c r="A25" s="28" t="s">
        <v>196</v>
      </c>
    </row>
    <row r="27" ht="12.75">
      <c r="A27" s="28" t="s">
        <v>197</v>
      </c>
    </row>
    <row r="28" ht="12.75">
      <c r="A28" s="28" t="s">
        <v>7</v>
      </c>
    </row>
    <row r="29" ht="12.75">
      <c r="A29" s="29" t="s">
        <v>198</v>
      </c>
    </row>
    <row r="31" ht="12.75">
      <c r="A31" s="29" t="s">
        <v>199</v>
      </c>
    </row>
    <row r="33" ht="12.75">
      <c r="A33" s="28" t="s">
        <v>200</v>
      </c>
    </row>
    <row r="35" ht="12.75">
      <c r="A35" s="28" t="s">
        <v>201</v>
      </c>
    </row>
    <row r="36" ht="12.75">
      <c r="A36" s="29" t="s">
        <v>202</v>
      </c>
    </row>
    <row r="38" spans="1:8" ht="12.75">
      <c r="A38" s="28" t="s">
        <v>203</v>
      </c>
      <c r="F38" s="12" t="s">
        <v>7</v>
      </c>
      <c r="H38" s="12" t="s">
        <v>7</v>
      </c>
    </row>
    <row r="39" spans="6:8" ht="12.75">
      <c r="F39" s="12" t="s">
        <v>7</v>
      </c>
      <c r="H39" s="12" t="s">
        <v>7</v>
      </c>
    </row>
    <row r="40" spans="1:8" ht="12.75">
      <c r="A40" s="29" t="s">
        <v>204</v>
      </c>
      <c r="H40" s="12" t="s">
        <v>7</v>
      </c>
    </row>
    <row r="41" spans="1:8" ht="12.75">
      <c r="A41" s="29"/>
      <c r="B41" s="28" t="s">
        <v>7</v>
      </c>
      <c r="F41"/>
      <c r="G41"/>
      <c r="H41"/>
    </row>
    <row r="42" ht="12.75">
      <c r="A42" s="28" t="s">
        <v>205</v>
      </c>
    </row>
    <row r="43" ht="12.75">
      <c r="A43" s="28" t="s">
        <v>206</v>
      </c>
    </row>
    <row r="44" ht="12.75">
      <c r="A44" s="28" t="s">
        <v>207</v>
      </c>
    </row>
    <row r="45" ht="12.75">
      <c r="A45" s="28" t="s">
        <v>208</v>
      </c>
    </row>
    <row r="47" ht="12.75">
      <c r="A47" s="28" t="s">
        <v>209</v>
      </c>
    </row>
    <row r="49" ht="12.75">
      <c r="A49" s="28" t="s">
        <v>210</v>
      </c>
    </row>
    <row r="50" ht="12.75">
      <c r="A50" s="28" t="s">
        <v>211</v>
      </c>
    </row>
    <row r="52" ht="12.75">
      <c r="A52" s="28" t="s">
        <v>212</v>
      </c>
    </row>
    <row r="53" ht="12.75">
      <c r="A53" s="28" t="s">
        <v>206</v>
      </c>
    </row>
    <row r="54" ht="12.75">
      <c r="A54" s="28" t="s">
        <v>213</v>
      </c>
    </row>
    <row r="55" ht="12.75">
      <c r="A55" s="28" t="s">
        <v>214</v>
      </c>
    </row>
    <row r="57" ht="12.75">
      <c r="A57" s="28" t="s">
        <v>215</v>
      </c>
    </row>
    <row r="58" ht="12.75">
      <c r="A58" s="28" t="s">
        <v>206</v>
      </c>
    </row>
    <row r="59" ht="12.75">
      <c r="A59" s="28" t="s">
        <v>216</v>
      </c>
    </row>
    <row r="61" ht="12.75">
      <c r="A61" s="28" t="s">
        <v>217</v>
      </c>
    </row>
    <row r="62" ht="12.75">
      <c r="A62" s="28" t="s">
        <v>206</v>
      </c>
    </row>
    <row r="63" ht="12.75">
      <c r="A63" s="28" t="s">
        <v>218</v>
      </c>
    </row>
    <row r="64" ht="12.75">
      <c r="A64" s="29" t="s">
        <v>219</v>
      </c>
    </row>
    <row r="66" ht="12.75">
      <c r="A66" s="28" t="s">
        <v>220</v>
      </c>
    </row>
    <row r="68" ht="12.75">
      <c r="A68" s="28" t="s">
        <v>221</v>
      </c>
    </row>
    <row r="69" ht="12.75">
      <c r="A69" s="28" t="s">
        <v>7</v>
      </c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50"/>
  <sheetViews>
    <sheetView workbookViewId="0" topLeftCell="A1">
      <selection activeCell="B151" sqref="B151"/>
      <selection activeCell="A1" sqref="A1"/>
    </sheetView>
  </sheetViews>
  <sheetFormatPr defaultColWidth="9.140625" defaultRowHeight="12.75"/>
  <cols>
    <col min="4" max="4" width="12.140625" style="0" customWidth="1"/>
    <col min="9" max="9" width="11.57421875" style="0" customWidth="1"/>
  </cols>
  <sheetData>
    <row r="1" spans="2:8" ht="18">
      <c r="B1" s="3" t="s">
        <v>180</v>
      </c>
      <c r="D1" s="28"/>
      <c r="E1" s="28"/>
      <c r="F1" s="28"/>
      <c r="G1" s="28"/>
      <c r="H1" s="28"/>
    </row>
    <row r="2" spans="2:8" ht="12.75">
      <c r="B2" s="28"/>
      <c r="C2" s="12" t="s">
        <v>181</v>
      </c>
      <c r="D2" s="28"/>
      <c r="E2" s="28"/>
      <c r="F2" s="28"/>
      <c r="G2" s="28"/>
      <c r="H2" s="28"/>
    </row>
    <row r="3" spans="2:8" ht="12.75">
      <c r="B3" s="28"/>
      <c r="C3" s="12" t="s">
        <v>182</v>
      </c>
      <c r="D3" s="28"/>
      <c r="E3" s="28"/>
      <c r="F3" s="28"/>
      <c r="G3" s="28"/>
      <c r="H3" s="28"/>
    </row>
    <row r="4" spans="2:8" ht="12.75">
      <c r="B4" s="12" t="s">
        <v>183</v>
      </c>
      <c r="C4" s="12"/>
      <c r="D4" s="28"/>
      <c r="E4" s="28"/>
      <c r="F4" s="28"/>
      <c r="G4" s="28"/>
      <c r="H4" s="28"/>
    </row>
    <row r="5" spans="2:8" ht="12.75">
      <c r="B5" s="28"/>
      <c r="C5" s="12"/>
      <c r="D5" s="28"/>
      <c r="E5" s="28"/>
      <c r="F5" s="28"/>
      <c r="G5" s="28"/>
      <c r="H5" s="28"/>
    </row>
    <row r="6" spans="1:8" ht="12.75">
      <c r="A6" s="18" t="s">
        <v>222</v>
      </c>
      <c r="B6" s="28"/>
      <c r="C6" s="28"/>
      <c r="D6" s="28"/>
      <c r="E6" s="28"/>
      <c r="F6" s="28"/>
      <c r="G6" s="28"/>
      <c r="H6" s="28"/>
    </row>
    <row r="8" spans="1:17" ht="12.75">
      <c r="A8" s="28" t="s">
        <v>223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8" t="s">
        <v>206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28" t="s">
        <v>224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28" t="s">
        <v>225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28" t="s">
        <v>226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28" t="s">
        <v>227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2.75">
      <c r="A15" s="28" t="s">
        <v>228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2.75">
      <c r="A16" s="28" t="s">
        <v>229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28" t="s">
        <v>230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2.75">
      <c r="A18" s="28" t="s">
        <v>231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 t="s">
        <v>232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8" t="s">
        <v>233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8" t="s">
        <v>206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8" t="s">
        <v>234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8" t="s">
        <v>235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8" t="s">
        <v>236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2.75">
      <c r="A26" s="28" t="s">
        <v>237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8" t="s">
        <v>238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8" t="s">
        <v>239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 t="s">
        <v>240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8" t="s">
        <v>241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8" t="s">
        <v>242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8" t="s">
        <v>243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8" t="s">
        <v>244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8" t="s">
        <v>245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 t="s">
        <v>246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 t="s">
        <v>247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 t="s">
        <v>248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 t="s">
        <v>249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 t="s">
        <v>206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 t="s">
        <v>250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 t="s">
        <v>251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9" t="s">
        <v>252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C54" s="28"/>
      <c r="E54" s="72" t="s">
        <v>253</v>
      </c>
      <c r="F54" s="44"/>
      <c r="G54" s="71" t="s">
        <v>254</v>
      </c>
      <c r="J54" s="28"/>
      <c r="K54" s="28"/>
      <c r="L54" s="28"/>
      <c r="M54" s="28"/>
      <c r="N54" s="28"/>
      <c r="O54" s="28"/>
      <c r="P54" s="28"/>
      <c r="Q54" s="28"/>
    </row>
    <row r="55" spans="2:17" ht="12.75">
      <c r="B55" s="28"/>
      <c r="C55" s="28"/>
      <c r="E55" s="71" t="s">
        <v>86</v>
      </c>
      <c r="F55" s="71" t="s">
        <v>87</v>
      </c>
      <c r="G55" s="71" t="s">
        <v>86</v>
      </c>
      <c r="H55" s="71" t="s">
        <v>87</v>
      </c>
      <c r="J55" s="28"/>
      <c r="K55" s="28"/>
      <c r="L55" s="28"/>
      <c r="M55" s="28"/>
      <c r="N55" s="28"/>
      <c r="O55" s="28"/>
      <c r="P55" s="28"/>
      <c r="Q55" s="28"/>
    </row>
    <row r="56" spans="1:17" ht="12.75">
      <c r="A56" t="s">
        <v>255</v>
      </c>
      <c r="B56" s="28"/>
      <c r="C56" s="28"/>
      <c r="E56" s="45" t="s">
        <v>39</v>
      </c>
      <c r="F56" s="45" t="s">
        <v>89</v>
      </c>
      <c r="G56" s="45" t="s">
        <v>39</v>
      </c>
      <c r="H56" s="45" t="s">
        <v>89</v>
      </c>
      <c r="J56" s="28"/>
      <c r="K56" s="28"/>
      <c r="L56" s="28"/>
      <c r="M56" s="28"/>
      <c r="N56" s="28"/>
      <c r="O56" s="28"/>
      <c r="P56" s="28"/>
      <c r="Q56" s="28"/>
    </row>
    <row r="57" spans="2:17" ht="12.75">
      <c r="B57" s="28"/>
      <c r="C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9" t="s">
        <v>256</v>
      </c>
      <c r="B58" s="28"/>
      <c r="C58" s="28"/>
      <c r="E58" s="40">
        <v>-12</v>
      </c>
      <c r="F58" s="40">
        <v>-25</v>
      </c>
      <c r="G58" s="40">
        <v>-24</v>
      </c>
      <c r="H58" s="40">
        <v>-64</v>
      </c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9" t="s">
        <v>257</v>
      </c>
      <c r="B59" s="28"/>
      <c r="C59" s="28"/>
      <c r="D59" s="28"/>
      <c r="E59" s="40" t="s">
        <v>7</v>
      </c>
      <c r="F59" s="40">
        <v>0</v>
      </c>
      <c r="G59" s="40">
        <v>0</v>
      </c>
      <c r="H59" s="40">
        <v>-61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28" t="s">
        <v>258</v>
      </c>
      <c r="B60" s="28"/>
      <c r="C60" s="28"/>
      <c r="D60" s="28"/>
      <c r="E60" s="40">
        <v>0</v>
      </c>
      <c r="F60" s="39">
        <v>0</v>
      </c>
      <c r="G60" s="40">
        <v>0</v>
      </c>
      <c r="H60" s="39">
        <v>0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2.75">
      <c r="A61" s="28"/>
      <c r="B61" s="28"/>
      <c r="C61" s="28"/>
      <c r="D61" s="28"/>
      <c r="E61" s="41">
        <v>-12</v>
      </c>
      <c r="F61" s="41">
        <v>-25</v>
      </c>
      <c r="G61" s="41">
        <v>-24</v>
      </c>
      <c r="H61" s="41">
        <v>-125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2.75">
      <c r="A62" s="28"/>
      <c r="B62" s="28"/>
      <c r="C62" s="28"/>
      <c r="D62" s="28"/>
      <c r="E62" s="28"/>
      <c r="F62" s="92"/>
      <c r="G62" s="36"/>
      <c r="H62" s="92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2.75">
      <c r="A63" s="28" t="s">
        <v>259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28" t="s">
        <v>260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9" t="s">
        <v>261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t="s">
        <v>262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t="s">
        <v>263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t="s">
        <v>264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90" t="s">
        <v>265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 t="s">
        <v>266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2.75">
      <c r="A74" s="28" t="s">
        <v>267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2.75">
      <c r="A75" s="28" t="s">
        <v>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28" t="s">
        <v>268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28" t="s">
        <v>269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.75">
      <c r="A79" s="29" t="s">
        <v>270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2.75">
      <c r="A81" s="28" t="s">
        <v>271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2.75">
      <c r="A82" s="28" t="s">
        <v>206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2.75">
      <c r="A83" s="28" t="s">
        <v>272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2.75">
      <c r="A85" s="28" t="s">
        <v>273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.75">
      <c r="A87" s="28" t="s">
        <v>274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.75">
      <c r="A88" s="36" t="s">
        <v>275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2.75">
      <c r="A89" s="99" t="s">
        <v>276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2.75">
      <c r="A90" s="102" t="s">
        <v>277</v>
      </c>
      <c r="B90" s="31"/>
      <c r="C90" s="32"/>
      <c r="D90" s="30" t="s">
        <v>278</v>
      </c>
      <c r="E90" s="32"/>
      <c r="F90" s="33"/>
      <c r="G90" s="31"/>
      <c r="H90" s="31"/>
      <c r="I90" s="32"/>
      <c r="J90" s="28"/>
      <c r="K90" s="28"/>
      <c r="L90" s="28"/>
      <c r="M90" s="28"/>
      <c r="N90" s="28"/>
      <c r="O90" s="28"/>
      <c r="P90" s="28"/>
      <c r="Q90" s="28"/>
    </row>
    <row r="91" spans="1:16" ht="12.75">
      <c r="A91" s="34" t="s">
        <v>279</v>
      </c>
      <c r="B91" s="36"/>
      <c r="C91" s="35"/>
      <c r="D91" s="34"/>
      <c r="E91" s="34"/>
      <c r="F91" s="36"/>
      <c r="G91" s="36"/>
      <c r="I91" s="35"/>
      <c r="J91" s="28"/>
      <c r="K91" s="28"/>
      <c r="L91" s="28"/>
      <c r="M91" s="28"/>
      <c r="N91" s="28"/>
      <c r="O91" s="28"/>
      <c r="P91" s="28"/>
    </row>
    <row r="92" spans="1:16" ht="12.75">
      <c r="A92" s="34" t="s">
        <v>280</v>
      </c>
      <c r="B92" s="36"/>
      <c r="C92" s="35"/>
      <c r="D92" s="34"/>
      <c r="E92" s="34"/>
      <c r="F92" s="36"/>
      <c r="G92" s="36"/>
      <c r="I92" s="35"/>
      <c r="J92" s="28"/>
      <c r="K92" s="28"/>
      <c r="L92" s="28"/>
      <c r="M92" s="28"/>
      <c r="N92" s="28"/>
      <c r="O92" s="28"/>
      <c r="P92" s="28"/>
    </row>
    <row r="93" spans="1:16" ht="12.75">
      <c r="A93" s="34"/>
      <c r="B93" s="36"/>
      <c r="C93" s="35"/>
      <c r="D93" s="93">
        <v>760000</v>
      </c>
      <c r="E93" s="34" t="s">
        <v>281</v>
      </c>
      <c r="F93" s="36"/>
      <c r="G93" s="36"/>
      <c r="I93" s="35"/>
      <c r="J93" s="28"/>
      <c r="K93" s="28"/>
      <c r="L93" s="28"/>
      <c r="M93" s="28"/>
      <c r="N93" s="28"/>
      <c r="O93" s="28"/>
      <c r="P93" s="28"/>
    </row>
    <row r="94" spans="1:16" ht="12.75">
      <c r="A94" s="42" t="s">
        <v>282</v>
      </c>
      <c r="B94" s="36"/>
      <c r="C94" s="35"/>
      <c r="D94" s="34"/>
      <c r="E94" s="34" t="s">
        <v>283</v>
      </c>
      <c r="F94" s="36"/>
      <c r="G94" s="36"/>
      <c r="I94" s="98"/>
      <c r="J94" s="28"/>
      <c r="K94" s="28"/>
      <c r="L94" s="28"/>
      <c r="M94" s="28"/>
      <c r="N94" s="28"/>
      <c r="O94" s="28"/>
      <c r="P94" s="28"/>
    </row>
    <row r="95" spans="1:16" ht="12.75">
      <c r="A95" s="34" t="s">
        <v>284</v>
      </c>
      <c r="B95" s="36"/>
      <c r="C95" s="35"/>
      <c r="D95" s="34"/>
      <c r="E95" s="34"/>
      <c r="F95" s="36"/>
      <c r="G95" s="36"/>
      <c r="I95" s="35"/>
      <c r="J95" s="28"/>
      <c r="K95" s="28"/>
      <c r="L95" s="28"/>
      <c r="M95" s="28"/>
      <c r="N95" s="28"/>
      <c r="O95" s="28"/>
      <c r="P95" s="28"/>
    </row>
    <row r="96" spans="1:16" ht="12.75">
      <c r="A96" s="34" t="s">
        <v>285</v>
      </c>
      <c r="B96" s="36"/>
      <c r="C96" s="35"/>
      <c r="D96" s="34"/>
      <c r="E96" s="34"/>
      <c r="F96" s="36"/>
      <c r="G96" s="36"/>
      <c r="I96" s="35"/>
      <c r="J96" s="28"/>
      <c r="K96" s="28"/>
      <c r="L96" s="28"/>
      <c r="M96" s="28"/>
      <c r="N96" s="28"/>
      <c r="O96" s="28"/>
      <c r="P96" s="28"/>
    </row>
    <row r="97" spans="1:16" ht="12.75">
      <c r="A97" s="34" t="s">
        <v>286</v>
      </c>
      <c r="B97" s="36"/>
      <c r="C97" s="35"/>
      <c r="D97" s="37">
        <v>1612040.89</v>
      </c>
      <c r="E97" s="34" t="s">
        <v>281</v>
      </c>
      <c r="F97" s="36"/>
      <c r="G97" s="36"/>
      <c r="H97" s="35"/>
      <c r="I97" s="35"/>
      <c r="J97" s="28"/>
      <c r="K97" s="28"/>
      <c r="L97" s="28"/>
      <c r="M97" s="28"/>
      <c r="N97" s="28"/>
      <c r="O97" s="28"/>
      <c r="P97" s="28"/>
    </row>
    <row r="98" spans="1:16" ht="12.75">
      <c r="A98" s="34"/>
      <c r="B98" s="36"/>
      <c r="C98" s="35"/>
      <c r="D98" s="34"/>
      <c r="E98" s="34" t="s">
        <v>287</v>
      </c>
      <c r="F98" s="36"/>
      <c r="G98" s="36"/>
      <c r="H98" s="35"/>
      <c r="I98" s="35"/>
      <c r="J98" s="28"/>
      <c r="K98" s="28"/>
      <c r="L98" s="28"/>
      <c r="M98" s="28"/>
      <c r="N98" s="28"/>
      <c r="O98" s="28"/>
      <c r="P98" s="28"/>
    </row>
    <row r="99" spans="1:16" ht="12.75">
      <c r="A99" s="34"/>
      <c r="B99" s="36"/>
      <c r="C99" s="35"/>
      <c r="D99" s="34"/>
      <c r="E99" s="34" t="s">
        <v>288</v>
      </c>
      <c r="F99" s="36"/>
      <c r="G99" s="36"/>
      <c r="H99" s="35"/>
      <c r="I99" s="35"/>
      <c r="J99" s="28"/>
      <c r="K99" s="28"/>
      <c r="L99" s="28"/>
      <c r="M99" s="28"/>
      <c r="N99" s="28"/>
      <c r="O99" s="28"/>
      <c r="P99" s="28"/>
    </row>
    <row r="100" spans="1:16" ht="12.75">
      <c r="A100" s="34"/>
      <c r="B100" s="36"/>
      <c r="C100" s="35"/>
      <c r="D100" s="34"/>
      <c r="E100" s="34" t="s">
        <v>289</v>
      </c>
      <c r="F100" s="36"/>
      <c r="G100" s="36"/>
      <c r="H100" s="35"/>
      <c r="I100" s="35"/>
      <c r="J100" s="28"/>
      <c r="K100" s="28"/>
      <c r="L100" s="28"/>
      <c r="M100" s="28"/>
      <c r="N100" s="28"/>
      <c r="O100" s="28"/>
      <c r="P100" s="28"/>
    </row>
    <row r="101" spans="2:16" ht="12.75">
      <c r="B101" s="36"/>
      <c r="C101" s="35"/>
      <c r="D101" s="34"/>
      <c r="E101" s="34" t="s">
        <v>290</v>
      </c>
      <c r="F101" s="36"/>
      <c r="G101" s="36"/>
      <c r="H101" s="35"/>
      <c r="I101" s="35"/>
      <c r="J101" s="28"/>
      <c r="K101" s="28"/>
      <c r="L101" s="28"/>
      <c r="M101" s="28"/>
      <c r="N101" s="28"/>
      <c r="O101" s="28"/>
      <c r="P101" s="28"/>
    </row>
    <row r="102" spans="1:16" ht="12.75">
      <c r="A102" s="31"/>
      <c r="B102" s="31"/>
      <c r="C102" s="31" t="s">
        <v>151</v>
      </c>
      <c r="D102" s="103">
        <f>+D97+D93</f>
        <v>2372040.8899999997</v>
      </c>
      <c r="E102" s="31"/>
      <c r="F102" s="31"/>
      <c r="G102" s="31"/>
      <c r="H102" s="31"/>
      <c r="I102" s="32"/>
      <c r="J102" s="28"/>
      <c r="K102" s="28"/>
      <c r="L102" s="28"/>
      <c r="M102" s="28"/>
      <c r="N102" s="28"/>
      <c r="O102" s="28"/>
      <c r="P102" s="28"/>
    </row>
    <row r="103" spans="1:17" ht="12.75">
      <c r="A103" s="36"/>
      <c r="B103" s="36"/>
      <c r="C103" s="36"/>
      <c r="D103" s="83"/>
      <c r="E103" s="36"/>
      <c r="F103" s="36"/>
      <c r="G103" s="36"/>
      <c r="H103" s="36"/>
      <c r="I103" s="36"/>
      <c r="J103" s="28"/>
      <c r="K103" s="28"/>
      <c r="L103" s="28"/>
      <c r="M103" s="28"/>
      <c r="N103" s="28"/>
      <c r="O103" s="28"/>
      <c r="P103" s="28"/>
      <c r="Q103" s="28"/>
    </row>
    <row r="104" spans="1:17" ht="12.75">
      <c r="A104" s="28" t="s">
        <v>291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2.75">
      <c r="A106" s="28" t="s">
        <v>292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.75">
      <c r="A107" s="28" t="s">
        <v>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2.75">
      <c r="A108" s="28" t="s">
        <v>293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.75">
      <c r="A109" s="28" t="s">
        <v>206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 t="s">
        <v>294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.75">
      <c r="A112" s="28" t="s">
        <v>295</v>
      </c>
      <c r="B112" s="28"/>
      <c r="C112" s="28"/>
      <c r="D112" s="28"/>
      <c r="E112" s="28"/>
      <c r="F112" s="28"/>
      <c r="G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 t="s">
        <v>7</v>
      </c>
      <c r="B113" s="28"/>
      <c r="C113" s="28"/>
      <c r="D113" s="28"/>
      <c r="E113" s="28"/>
      <c r="F113" s="12" t="s">
        <v>296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8"/>
      <c r="B114" s="28"/>
      <c r="C114" s="28"/>
      <c r="D114" s="28"/>
      <c r="E114" s="28"/>
      <c r="F114" s="27">
        <v>2003</v>
      </c>
      <c r="G114" s="28"/>
      <c r="H114" s="27">
        <v>2002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 ht="12.75">
      <c r="B115" s="28"/>
      <c r="C115" s="28"/>
      <c r="D115" s="28"/>
      <c r="E115" s="28"/>
      <c r="F115" s="12" t="s">
        <v>297</v>
      </c>
      <c r="G115" s="28"/>
      <c r="H115" s="12" t="s">
        <v>297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.75">
      <c r="A116" s="28" t="s">
        <v>298</v>
      </c>
      <c r="C116" s="28"/>
      <c r="D116" s="28"/>
      <c r="E116" s="28"/>
      <c r="F116" s="84" t="s">
        <v>299</v>
      </c>
      <c r="G116" s="28"/>
      <c r="H116" s="84" t="s">
        <v>299</v>
      </c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.75">
      <c r="A117" s="28" t="s">
        <v>300</v>
      </c>
      <c r="C117" s="28"/>
      <c r="D117" s="28"/>
      <c r="E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.75">
      <c r="A118" s="28" t="s">
        <v>301</v>
      </c>
      <c r="B118" s="28"/>
      <c r="C118" s="28"/>
      <c r="D118" s="28"/>
      <c r="E118" s="28"/>
      <c r="F118" s="38">
        <v>0</v>
      </c>
      <c r="G118" s="28"/>
      <c r="H118" s="38">
        <v>1012.5</v>
      </c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.75">
      <c r="A119" s="28" t="s">
        <v>302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.75">
      <c r="A120" s="28" t="s">
        <v>303</v>
      </c>
      <c r="B120" s="28"/>
      <c r="C120" s="28"/>
      <c r="D120" s="28"/>
      <c r="E120" s="28"/>
      <c r="F120" s="38">
        <v>0</v>
      </c>
      <c r="G120" s="28"/>
      <c r="H120" s="86" t="s">
        <v>304</v>
      </c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3:17" ht="12.75">
      <c r="C121" s="28"/>
      <c r="D121" s="28"/>
      <c r="E121" s="28"/>
      <c r="F121" s="38" t="s">
        <v>7</v>
      </c>
      <c r="G121" s="28"/>
      <c r="H121" s="38" t="s">
        <v>7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 ht="13.5" thickBot="1">
      <c r="B122" s="28" t="s">
        <v>151</v>
      </c>
      <c r="C122" s="28"/>
      <c r="D122" s="28"/>
      <c r="E122" s="28"/>
      <c r="F122" s="97">
        <v>0</v>
      </c>
      <c r="G122" s="28"/>
      <c r="H122" s="70" t="s">
        <v>305</v>
      </c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 ht="13.5" thickTop="1">
      <c r="B123" s="28"/>
      <c r="C123" s="28"/>
      <c r="D123" s="28"/>
      <c r="E123" s="28"/>
      <c r="F123" s="85"/>
      <c r="G123" s="28"/>
      <c r="H123" s="85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.75">
      <c r="A124" s="28" t="s">
        <v>306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.75">
      <c r="A125" s="28" t="s">
        <v>307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2.75">
      <c r="A126" s="28" t="s">
        <v>308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2.75">
      <c r="A127" s="28" t="s">
        <v>309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2.75">
      <c r="A129" s="28" t="s">
        <v>310</v>
      </c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2.75">
      <c r="A130" s="28" t="s">
        <v>311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2.75">
      <c r="A131" s="28"/>
      <c r="B131" s="28"/>
      <c r="C131" s="28"/>
      <c r="D131" s="28"/>
      <c r="E131" s="72" t="s">
        <v>253</v>
      </c>
      <c r="F131" s="44"/>
      <c r="G131" s="71" t="s">
        <v>254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2.75">
      <c r="A132" s="28"/>
      <c r="B132" s="28"/>
      <c r="C132" s="28"/>
      <c r="D132" s="28"/>
      <c r="E132" s="71" t="s">
        <v>86</v>
      </c>
      <c r="F132" s="71" t="s">
        <v>87</v>
      </c>
      <c r="G132" s="71" t="s">
        <v>86</v>
      </c>
      <c r="H132" s="71" t="s">
        <v>87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2.75">
      <c r="A133" s="28"/>
      <c r="B133" s="28"/>
      <c r="C133" s="28"/>
      <c r="D133" s="28"/>
      <c r="E133" s="45" t="s">
        <v>39</v>
      </c>
      <c r="F133" s="45" t="s">
        <v>89</v>
      </c>
      <c r="G133" s="45" t="s">
        <v>39</v>
      </c>
      <c r="H133" s="45" t="s">
        <v>89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2.75">
      <c r="A135" s="28" t="s">
        <v>312</v>
      </c>
      <c r="B135" s="28"/>
      <c r="C135" s="28"/>
      <c r="D135" s="28"/>
      <c r="E135" s="79">
        <f>-469-12</f>
        <v>-481</v>
      </c>
      <c r="F135" s="79">
        <v>1222</v>
      </c>
      <c r="G135" s="79">
        <f>-896-12</f>
        <v>-908</v>
      </c>
      <c r="H135" s="94">
        <v>1700</v>
      </c>
      <c r="J135" s="28"/>
      <c r="K135" s="28"/>
      <c r="L135" s="28"/>
      <c r="M135" s="28"/>
      <c r="N135" s="28"/>
      <c r="O135" s="28"/>
      <c r="P135" s="28"/>
      <c r="Q135" s="28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2.75">
      <c r="A137" s="29" t="s">
        <v>313</v>
      </c>
      <c r="B137" s="28"/>
      <c r="C137" s="28"/>
      <c r="D137" s="28"/>
      <c r="E137" s="95">
        <v>20250</v>
      </c>
      <c r="F137" s="95">
        <v>20250</v>
      </c>
      <c r="G137" s="95">
        <v>20250</v>
      </c>
      <c r="H137" s="95">
        <v>20250</v>
      </c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2.75">
      <c r="A138" s="29" t="s">
        <v>314</v>
      </c>
      <c r="B138" s="28"/>
      <c r="C138" s="28"/>
      <c r="D138" s="28"/>
      <c r="E138" s="96"/>
      <c r="F138" s="96"/>
      <c r="G138" s="96"/>
      <c r="H138" s="96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2.75">
      <c r="A140" s="28" t="s">
        <v>315</v>
      </c>
      <c r="B140" s="28"/>
      <c r="C140" s="28"/>
      <c r="D140" s="28"/>
      <c r="E140" s="39">
        <f>+E135/E137*100</f>
        <v>-2.3753086419753084</v>
      </c>
      <c r="F140" s="39">
        <f>+F135/F137*100</f>
        <v>6.034567901234568</v>
      </c>
      <c r="G140" s="39">
        <f>+G135/G137*100</f>
        <v>-4.483950617283951</v>
      </c>
      <c r="H140" s="39">
        <f>+H135/H137*100</f>
        <v>8.395061728395062</v>
      </c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2.75">
      <c r="A142" s="28" t="s">
        <v>316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2.75">
      <c r="A143" s="29" t="s">
        <v>317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2.75">
      <c r="A144" s="2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2.75">
      <c r="A145" s="28" t="s">
        <v>318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29" t="s">
        <v>319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2.75">
      <c r="A148" s="29" t="s">
        <v>320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ABCDEFGHI</dc:creator>
  <cp:keywords/>
  <dc:description/>
  <cp:lastModifiedBy>PFA</cp:lastModifiedBy>
  <dcterms:created xsi:type="dcterms:W3CDTF">2003-08-29T04:29:58Z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